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\Мои документы\капремонт\Титул 2025\"/>
    </mc:Choice>
  </mc:AlternateContent>
  <xr:revisionPtr revIDLastSave="0" documentId="13_ncr:1_{5EB1CC6B-C0B2-4333-A5FD-4E5F6873B9CE}" xr6:coauthVersionLast="47" xr6:coauthVersionMax="47" xr10:uidLastSave="{00000000-0000-0000-0000-000000000000}"/>
  <bookViews>
    <workbookView xWindow="2295" yWindow="135" windowWidth="26070" windowHeight="14790" tabRatio="653" firstSheet="7" activeTab="7" xr2:uid="{00000000-000D-0000-FFFF-FFFF00000000}"/>
  </bookViews>
  <sheets>
    <sheet name="  2018" sheetId="33" state="hidden" r:id="rId1"/>
    <sheet name="ТИТУЛ 2018 (2)" sheetId="37" state="hidden" r:id="rId2"/>
    <sheet name="стоимость кв.м." sheetId="36" state="hidden" r:id="rId3"/>
    <sheet name="ТИТУЛ 2018 (3)" sheetId="38" state="hidden" r:id="rId4"/>
    <sheet name="ТИТУЛ 2018 " sheetId="39" state="hidden" r:id="rId5"/>
    <sheet name="ТИТУЛ 2018  (дубль 2" sheetId="42" state="hidden" r:id="rId6"/>
    <sheet name="ТИТУЛ 2018  (дубль 3" sheetId="43" state="hidden" r:id="rId7"/>
    <sheet name="2025" sheetId="54" r:id="rId8"/>
    <sheet name="Лист1" sheetId="55" r:id="rId9"/>
  </sheets>
  <externalReferences>
    <externalReference r:id="rId10"/>
  </externalReferences>
  <definedNames>
    <definedName name="_xlnm.Print_Area" localSheetId="7">'2025'!$A$1:$F$60</definedName>
  </definedNames>
  <calcPr calcId="191029"/>
</workbook>
</file>

<file path=xl/calcChain.xml><?xml version="1.0" encoding="utf-8"?>
<calcChain xmlns="http://schemas.openxmlformats.org/spreadsheetml/2006/main">
  <c r="C39" i="54" l="1"/>
  <c r="C28" i="54"/>
  <c r="C55" i="54" l="1"/>
  <c r="D24" i="54" l="1"/>
  <c r="C24" i="54"/>
  <c r="D33" i="55" l="1"/>
  <c r="D15" i="55"/>
  <c r="H33" i="55"/>
  <c r="G32" i="55"/>
  <c r="G33" i="55" s="1"/>
  <c r="H21" i="55"/>
  <c r="H15" i="55"/>
  <c r="G15" i="55"/>
  <c r="N61" i="43" l="1"/>
  <c r="C61" i="43"/>
  <c r="S54" i="43"/>
  <c r="O53" i="43"/>
  <c r="P53" i="43" s="1"/>
  <c r="Q52" i="43"/>
  <c r="P52" i="43"/>
  <c r="Q51" i="43"/>
  <c r="P51" i="43"/>
  <c r="O51" i="43"/>
  <c r="Q50" i="43"/>
  <c r="P50" i="43"/>
  <c r="O50" i="43"/>
  <c r="Q49" i="43"/>
  <c r="P49" i="43"/>
  <c r="O49" i="43"/>
  <c r="Q48" i="43"/>
  <c r="P48" i="43"/>
  <c r="O48" i="43"/>
  <c r="Q47" i="43"/>
  <c r="P47" i="43"/>
  <c r="O47" i="43"/>
  <c r="Q46" i="43"/>
  <c r="P46" i="43"/>
  <c r="S45" i="43"/>
  <c r="S61" i="43" s="1"/>
  <c r="M38" i="43"/>
  <c r="L38" i="43"/>
  <c r="I38" i="43"/>
  <c r="Q37" i="43"/>
  <c r="P37" i="43"/>
  <c r="O37" i="43"/>
  <c r="S37" i="43" s="1"/>
  <c r="S36" i="43"/>
  <c r="Q36" i="43"/>
  <c r="Q38" i="43" s="1"/>
  <c r="P36" i="43"/>
  <c r="K32" i="43"/>
  <c r="P31" i="43"/>
  <c r="O31" i="43"/>
  <c r="L31" i="43" s="1"/>
  <c r="J31" i="43"/>
  <c r="J32" i="43" s="1"/>
  <c r="P30" i="43"/>
  <c r="O30" i="43"/>
  <c r="L30" i="43" s="1"/>
  <c r="M26" i="43"/>
  <c r="N32" i="43" s="1"/>
  <c r="I26" i="43"/>
  <c r="I32" i="43" s="1"/>
  <c r="D26" i="43"/>
  <c r="D32" i="43" s="1"/>
  <c r="C26" i="43"/>
  <c r="C32" i="43" s="1"/>
  <c r="Q25" i="43"/>
  <c r="P25" i="43"/>
  <c r="O25" i="43"/>
  <c r="L25" i="43" s="1"/>
  <c r="J25" i="43"/>
  <c r="E25" i="43"/>
  <c r="Q24" i="43"/>
  <c r="P24" i="43"/>
  <c r="O24" i="43"/>
  <c r="L24" i="43" s="1"/>
  <c r="J24" i="43"/>
  <c r="E24" i="43"/>
  <c r="Q23" i="43"/>
  <c r="O23" i="43" s="1"/>
  <c r="L23" i="43" s="1"/>
  <c r="P23" i="43"/>
  <c r="J23" i="43"/>
  <c r="E23" i="43"/>
  <c r="S22" i="43"/>
  <c r="Q22" i="43"/>
  <c r="P22" i="43"/>
  <c r="J22" i="43"/>
  <c r="E22" i="43"/>
  <c r="Q21" i="43"/>
  <c r="P21" i="43"/>
  <c r="E21" i="43"/>
  <c r="Q20" i="43"/>
  <c r="O20" i="43" s="1"/>
  <c r="L20" i="43" s="1"/>
  <c r="P20" i="43"/>
  <c r="S19" i="43"/>
  <c r="O19" i="43" s="1"/>
  <c r="L19" i="43" s="1"/>
  <c r="P19" i="43"/>
  <c r="P18" i="43"/>
  <c r="O18" i="43"/>
  <c r="L18" i="43" s="1"/>
  <c r="P17" i="43"/>
  <c r="O17" i="43"/>
  <c r="L17" i="43" s="1"/>
  <c r="Q16" i="43"/>
  <c r="P16" i="43"/>
  <c r="O16" i="43"/>
  <c r="L16" i="43" s="1"/>
  <c r="N61" i="42"/>
  <c r="C61" i="42"/>
  <c r="S54" i="42"/>
  <c r="O53" i="42"/>
  <c r="P53" i="42" s="1"/>
  <c r="Q52" i="42"/>
  <c r="P52" i="42"/>
  <c r="Q51" i="42"/>
  <c r="P51" i="42"/>
  <c r="O51" i="42"/>
  <c r="Q50" i="42"/>
  <c r="P50" i="42"/>
  <c r="O50" i="42"/>
  <c r="Q49" i="42"/>
  <c r="P49" i="42"/>
  <c r="O49" i="42"/>
  <c r="Q48" i="42"/>
  <c r="P48" i="42"/>
  <c r="O48" i="42"/>
  <c r="Q47" i="42"/>
  <c r="P47" i="42"/>
  <c r="O47" i="42"/>
  <c r="Q46" i="42"/>
  <c r="P46" i="42"/>
  <c r="S45" i="42"/>
  <c r="M38" i="42"/>
  <c r="L38" i="42"/>
  <c r="I38" i="42"/>
  <c r="Q37" i="42"/>
  <c r="P37" i="42"/>
  <c r="O37" i="42"/>
  <c r="S37" i="42" s="1"/>
  <c r="S36" i="42"/>
  <c r="Q36" i="42"/>
  <c r="Q38" i="42" s="1"/>
  <c r="P36" i="42"/>
  <c r="K32" i="42"/>
  <c r="P31" i="42"/>
  <c r="O31" i="42"/>
  <c r="L31" i="42" s="1"/>
  <c r="J31" i="42"/>
  <c r="J32" i="42" s="1"/>
  <c r="P30" i="42"/>
  <c r="O30" i="42"/>
  <c r="L30" i="42" s="1"/>
  <c r="M26" i="42"/>
  <c r="M32" i="42" s="1"/>
  <c r="I26" i="42"/>
  <c r="I32" i="42" s="1"/>
  <c r="D26" i="42"/>
  <c r="D32" i="42" s="1"/>
  <c r="C26" i="42"/>
  <c r="C32" i="42" s="1"/>
  <c r="Q25" i="42"/>
  <c r="O25" i="42" s="1"/>
  <c r="L25" i="42" s="1"/>
  <c r="P25" i="42"/>
  <c r="J25" i="42"/>
  <c r="E25" i="42"/>
  <c r="Q24" i="42"/>
  <c r="O24" i="42" s="1"/>
  <c r="L24" i="42" s="1"/>
  <c r="P24" i="42"/>
  <c r="J24" i="42"/>
  <c r="E24" i="42"/>
  <c r="Q23" i="42"/>
  <c r="O23" i="42" s="1"/>
  <c r="L23" i="42" s="1"/>
  <c r="P23" i="42"/>
  <c r="J23" i="42"/>
  <c r="E23" i="42"/>
  <c r="S22" i="42"/>
  <c r="Q22" i="42"/>
  <c r="P22" i="42"/>
  <c r="J22" i="42"/>
  <c r="E22" i="42"/>
  <c r="Q21" i="42"/>
  <c r="P21" i="42"/>
  <c r="E21" i="42"/>
  <c r="Q20" i="42"/>
  <c r="P20" i="42"/>
  <c r="O20" i="42"/>
  <c r="L20" i="42" s="1"/>
  <c r="S19" i="42"/>
  <c r="P19" i="42"/>
  <c r="P18" i="42"/>
  <c r="O18" i="42"/>
  <c r="L18" i="42" s="1"/>
  <c r="P17" i="42"/>
  <c r="O17" i="42"/>
  <c r="L17" i="42" s="1"/>
  <c r="Q16" i="42"/>
  <c r="O16" i="42" s="1"/>
  <c r="L16" i="42" s="1"/>
  <c r="P16" i="42"/>
  <c r="K25" i="36"/>
  <c r="K24" i="36"/>
  <c r="K23" i="36"/>
  <c r="K22" i="36"/>
  <c r="S26" i="42" l="1"/>
  <c r="I63" i="42"/>
  <c r="O19" i="42"/>
  <c r="L19" i="42" s="1"/>
  <c r="O21" i="42"/>
  <c r="L21" i="42" s="1"/>
  <c r="O22" i="42"/>
  <c r="L22" i="42" s="1"/>
  <c r="S61" i="42"/>
  <c r="Q61" i="42"/>
  <c r="P61" i="42"/>
  <c r="Q26" i="43"/>
  <c r="U26" i="43" s="1"/>
  <c r="S26" i="43"/>
  <c r="S32" i="43" s="1"/>
  <c r="O61" i="43"/>
  <c r="Q61" i="43"/>
  <c r="S38" i="42"/>
  <c r="S39" i="42" s="1"/>
  <c r="P32" i="42"/>
  <c r="P63" i="42" s="1"/>
  <c r="O61" i="42"/>
  <c r="O21" i="43"/>
  <c r="L21" i="43" s="1"/>
  <c r="O22" i="43"/>
  <c r="L22" i="43" s="1"/>
  <c r="P32" i="43"/>
  <c r="P61" i="43"/>
  <c r="Q26" i="42"/>
  <c r="Q34" i="42" s="1"/>
  <c r="M32" i="43"/>
  <c r="N63" i="43"/>
  <c r="I63" i="43"/>
  <c r="Q34" i="43"/>
  <c r="S38" i="43"/>
  <c r="S39" i="43" s="1"/>
  <c r="S32" i="42"/>
  <c r="Q32" i="42"/>
  <c r="Q63" i="42" s="1"/>
  <c r="N32" i="42"/>
  <c r="N63" i="42" s="1"/>
  <c r="L26" i="42" l="1"/>
  <c r="L32" i="42" s="1"/>
  <c r="L63" i="42" s="1"/>
  <c r="O26" i="43"/>
  <c r="O32" i="43" s="1"/>
  <c r="Q32" i="43"/>
  <c r="Q63" i="43" s="1"/>
  <c r="O26" i="42"/>
  <c r="O32" i="42" s="1"/>
  <c r="L26" i="43"/>
  <c r="L32" i="43" s="1"/>
  <c r="L63" i="43" s="1"/>
  <c r="U26" i="42"/>
  <c r="S63" i="42"/>
  <c r="U63" i="42" s="1"/>
  <c r="O38" i="42"/>
  <c r="P63" i="43"/>
  <c r="S63" i="43"/>
  <c r="U63" i="43" s="1"/>
  <c r="O38" i="43"/>
  <c r="O63" i="43" l="1"/>
  <c r="O63" i="42"/>
  <c r="P31" i="39"/>
  <c r="S54" i="39" l="1"/>
  <c r="O53" i="39"/>
  <c r="P53" i="39" s="1"/>
  <c r="Q52" i="39"/>
  <c r="P52" i="39"/>
  <c r="Q51" i="39"/>
  <c r="P51" i="39"/>
  <c r="O51" i="39"/>
  <c r="Q50" i="39"/>
  <c r="P50" i="39"/>
  <c r="O50" i="39"/>
  <c r="Q49" i="39"/>
  <c r="P49" i="39"/>
  <c r="O49" i="39"/>
  <c r="Q48" i="39"/>
  <c r="P48" i="39"/>
  <c r="O48" i="39"/>
  <c r="Q47" i="39"/>
  <c r="P47" i="39"/>
  <c r="O47" i="39"/>
  <c r="Q46" i="39"/>
  <c r="P46" i="39"/>
  <c r="S45" i="39"/>
  <c r="Q37" i="39"/>
  <c r="P37" i="39"/>
  <c r="O37" i="39"/>
  <c r="S37" i="39" s="1"/>
  <c r="S36" i="39"/>
  <c r="Q36" i="39"/>
  <c r="P36" i="39"/>
  <c r="O31" i="39"/>
  <c r="J31" i="39"/>
  <c r="P30" i="39"/>
  <c r="O30" i="39"/>
  <c r="L30" i="39" s="1"/>
  <c r="M26" i="39"/>
  <c r="I26" i="39"/>
  <c r="Q25" i="39"/>
  <c r="O25" i="39" s="1"/>
  <c r="L25" i="39" s="1"/>
  <c r="P25" i="39"/>
  <c r="J25" i="39"/>
  <c r="Q24" i="39"/>
  <c r="O24" i="39" s="1"/>
  <c r="L24" i="39" s="1"/>
  <c r="P24" i="39"/>
  <c r="J24" i="39"/>
  <c r="Q23" i="39"/>
  <c r="O23" i="39" s="1"/>
  <c r="L23" i="39" s="1"/>
  <c r="P23" i="39"/>
  <c r="J23" i="39"/>
  <c r="S22" i="39"/>
  <c r="Q22" i="39"/>
  <c r="P22" i="39"/>
  <c r="J22" i="39"/>
  <c r="Q21" i="39"/>
  <c r="P21" i="39"/>
  <c r="Q20" i="39"/>
  <c r="O20" i="39" s="1"/>
  <c r="L20" i="39" s="1"/>
  <c r="P20" i="39"/>
  <c r="S19" i="39"/>
  <c r="P19" i="39"/>
  <c r="O19" i="39"/>
  <c r="L19" i="39" s="1"/>
  <c r="P18" i="39"/>
  <c r="O18" i="39"/>
  <c r="L18" i="39" s="1"/>
  <c r="P17" i="39"/>
  <c r="O17" i="39"/>
  <c r="L17" i="39" s="1"/>
  <c r="Q16" i="39"/>
  <c r="P16" i="39"/>
  <c r="O16" i="39"/>
  <c r="Q26" i="39" l="1"/>
  <c r="O21" i="39"/>
  <c r="L21" i="39" s="1"/>
  <c r="O22" i="39"/>
  <c r="L22" i="39" s="1"/>
  <c r="L16" i="39"/>
  <c r="L26" i="39" s="1"/>
  <c r="S26" i="39"/>
  <c r="O26" i="39" l="1"/>
  <c r="C30" i="36"/>
  <c r="J26" i="36"/>
  <c r="T28" i="36"/>
  <c r="N61" i="39"/>
  <c r="C61" i="39"/>
  <c r="L38" i="39"/>
  <c r="I38" i="39"/>
  <c r="K32" i="39"/>
  <c r="J32" i="39"/>
  <c r="D26" i="39"/>
  <c r="D32" i="39" s="1"/>
  <c r="C26" i="39"/>
  <c r="C32" i="39" s="1"/>
  <c r="E25" i="39"/>
  <c r="E24" i="39"/>
  <c r="E23" i="39"/>
  <c r="E22" i="39"/>
  <c r="E21" i="39"/>
  <c r="I37" i="38"/>
  <c r="I36" i="38"/>
  <c r="I38" i="38"/>
  <c r="C62" i="38"/>
  <c r="S61" i="38"/>
  <c r="S60" i="38"/>
  <c r="S59" i="38"/>
  <c r="S58" i="38"/>
  <c r="S57" i="38"/>
  <c r="S56" i="38"/>
  <c r="S22" i="38"/>
  <c r="N32" i="38"/>
  <c r="K32" i="38"/>
  <c r="S25" i="38"/>
  <c r="S53" i="38"/>
  <c r="N62" i="38"/>
  <c r="O54" i="38"/>
  <c r="P54" i="38" s="1"/>
  <c r="Q53" i="38"/>
  <c r="P53" i="38"/>
  <c r="Q52" i="38"/>
  <c r="P52" i="38"/>
  <c r="O52" i="38"/>
  <c r="Q51" i="38"/>
  <c r="P51" i="38"/>
  <c r="O51" i="38"/>
  <c r="Q50" i="38"/>
  <c r="P50" i="38"/>
  <c r="O50" i="38"/>
  <c r="Q49" i="38"/>
  <c r="P49" i="38"/>
  <c r="O49" i="38"/>
  <c r="Q48" i="38"/>
  <c r="P48" i="38"/>
  <c r="O48" i="38"/>
  <c r="Q47" i="38"/>
  <c r="P47" i="38"/>
  <c r="S46" i="38"/>
  <c r="M39" i="38"/>
  <c r="Q38" i="38"/>
  <c r="P38" i="38"/>
  <c r="O38" i="38"/>
  <c r="S38" i="38" s="1"/>
  <c r="Q37" i="38"/>
  <c r="P37" i="38"/>
  <c r="O37" i="38"/>
  <c r="S37" i="38" s="1"/>
  <c r="Q36" i="38"/>
  <c r="P36" i="38"/>
  <c r="P31" i="38"/>
  <c r="O31" i="38"/>
  <c r="J31" i="38"/>
  <c r="J32" i="38" s="1"/>
  <c r="P30" i="38"/>
  <c r="O30" i="38"/>
  <c r="L30" i="38" s="1"/>
  <c r="D26" i="38"/>
  <c r="D32" i="38" s="1"/>
  <c r="C26" i="38"/>
  <c r="C32" i="38" s="1"/>
  <c r="Q25" i="38"/>
  <c r="P25" i="38"/>
  <c r="J25" i="38"/>
  <c r="E25" i="38"/>
  <c r="Q24" i="38"/>
  <c r="P24" i="38"/>
  <c r="E24" i="38"/>
  <c r="S23" i="38"/>
  <c r="Q23" i="38"/>
  <c r="P23" i="38"/>
  <c r="L23" i="38"/>
  <c r="J23" i="38"/>
  <c r="E23" i="38"/>
  <c r="Q22" i="38"/>
  <c r="P22" i="38"/>
  <c r="J22" i="38"/>
  <c r="E22" i="38"/>
  <c r="Q21" i="38"/>
  <c r="P21" i="38"/>
  <c r="M21" i="38"/>
  <c r="E21" i="38"/>
  <c r="Q20" i="38"/>
  <c r="P20" i="38"/>
  <c r="O20" i="38"/>
  <c r="M20" i="38"/>
  <c r="S19" i="38"/>
  <c r="P19" i="38"/>
  <c r="O19" i="38"/>
  <c r="L19" i="38"/>
  <c r="P18" i="38"/>
  <c r="O18" i="38"/>
  <c r="M18" i="38"/>
  <c r="O17" i="38"/>
  <c r="P17" i="38"/>
  <c r="Q16" i="38"/>
  <c r="P16" i="38"/>
  <c r="O16" i="38"/>
  <c r="Q25" i="37"/>
  <c r="Q24" i="37"/>
  <c r="Q23" i="37"/>
  <c r="Q20" i="37"/>
  <c r="O20" i="37" s="1"/>
  <c r="Q22" i="37"/>
  <c r="S25" i="37"/>
  <c r="Q17" i="37"/>
  <c r="S23" i="37"/>
  <c r="P20" i="37"/>
  <c r="P21" i="37"/>
  <c r="Q21" i="37"/>
  <c r="M20" i="37"/>
  <c r="S17" i="37"/>
  <c r="P17" i="37"/>
  <c r="S24" i="37"/>
  <c r="O23" i="38" l="1"/>
  <c r="O17" i="37"/>
  <c r="O22" i="38"/>
  <c r="L22" i="38" s="1"/>
  <c r="O21" i="38"/>
  <c r="S62" i="38"/>
  <c r="P32" i="38"/>
  <c r="Q39" i="38"/>
  <c r="P32" i="39"/>
  <c r="Q38" i="39"/>
  <c r="P61" i="39"/>
  <c r="O61" i="39"/>
  <c r="Q61" i="39"/>
  <c r="M38" i="39"/>
  <c r="Q32" i="39"/>
  <c r="Q63" i="39" s="1"/>
  <c r="S38" i="39"/>
  <c r="S39" i="39" s="1"/>
  <c r="S61" i="39"/>
  <c r="S32" i="39"/>
  <c r="Q34" i="39"/>
  <c r="U26" i="39"/>
  <c r="I32" i="39"/>
  <c r="I63" i="39" s="1"/>
  <c r="I39" i="38"/>
  <c r="Q62" i="38"/>
  <c r="O62" i="38"/>
  <c r="S39" i="38"/>
  <c r="O21" i="37"/>
  <c r="Q26" i="38"/>
  <c r="Q32" i="38" s="1"/>
  <c r="Q65" i="38" s="1"/>
  <c r="Q67" i="38" s="1"/>
  <c r="M26" i="38"/>
  <c r="O24" i="38"/>
  <c r="L24" i="38" s="1"/>
  <c r="I24" i="38" s="1"/>
  <c r="P62" i="38"/>
  <c r="O25" i="38"/>
  <c r="L25" i="38" s="1"/>
  <c r="S26" i="38"/>
  <c r="P39" i="38"/>
  <c r="O25" i="37"/>
  <c r="L22" i="37"/>
  <c r="L23" i="37"/>
  <c r="L24" i="37"/>
  <c r="L25" i="37"/>
  <c r="L21" i="37"/>
  <c r="L19" i="37"/>
  <c r="L18" i="37"/>
  <c r="L17" i="37"/>
  <c r="N56" i="37"/>
  <c r="C56" i="37"/>
  <c r="O54" i="37"/>
  <c r="Q53" i="37"/>
  <c r="P53" i="37"/>
  <c r="O53" i="37"/>
  <c r="Q52" i="37"/>
  <c r="P52" i="37"/>
  <c r="O52" i="37"/>
  <c r="Q51" i="37"/>
  <c r="P51" i="37"/>
  <c r="O51" i="37"/>
  <c r="Q50" i="37"/>
  <c r="P50" i="37"/>
  <c r="O50" i="37"/>
  <c r="Q49" i="37"/>
  <c r="P49" i="37"/>
  <c r="O49" i="37"/>
  <c r="Q48" i="37"/>
  <c r="P48" i="37"/>
  <c r="O48" i="37"/>
  <c r="Q47" i="37"/>
  <c r="P47" i="37"/>
  <c r="S46" i="37"/>
  <c r="S56" i="37" s="1"/>
  <c r="M39" i="37"/>
  <c r="I39" i="37"/>
  <c r="Q38" i="37"/>
  <c r="P38" i="37"/>
  <c r="O38" i="37"/>
  <c r="S38" i="37" s="1"/>
  <c r="Q37" i="37"/>
  <c r="P37" i="37"/>
  <c r="O37" i="37"/>
  <c r="S37" i="37" s="1"/>
  <c r="Q36" i="37"/>
  <c r="Q39" i="37" s="1"/>
  <c r="P36" i="37"/>
  <c r="S32" i="37"/>
  <c r="I32" i="37"/>
  <c r="J32" i="37" s="1"/>
  <c r="C32" i="37"/>
  <c r="P31" i="37"/>
  <c r="O31" i="37"/>
  <c r="N32" i="37" s="1"/>
  <c r="J31" i="37"/>
  <c r="P30" i="37"/>
  <c r="O30" i="37"/>
  <c r="M32" i="37"/>
  <c r="L30" i="37"/>
  <c r="L32" i="37" s="1"/>
  <c r="I26" i="37"/>
  <c r="D26" i="37"/>
  <c r="C26" i="37"/>
  <c r="P25" i="37"/>
  <c r="J25" i="37"/>
  <c r="E25" i="37"/>
  <c r="P24" i="37"/>
  <c r="O24" i="37"/>
  <c r="J24" i="37"/>
  <c r="E24" i="37"/>
  <c r="P23" i="37"/>
  <c r="O23" i="37"/>
  <c r="J23" i="37"/>
  <c r="E23" i="37"/>
  <c r="S22" i="37"/>
  <c r="P22" i="37"/>
  <c r="O22" i="37"/>
  <c r="J22" i="37"/>
  <c r="E22" i="37"/>
  <c r="M21" i="37"/>
  <c r="E21" i="37"/>
  <c r="S19" i="37"/>
  <c r="O19" i="37" s="1"/>
  <c r="P19" i="37"/>
  <c r="O18" i="37"/>
  <c r="P18" i="37"/>
  <c r="M18" i="37"/>
  <c r="Q16" i="37"/>
  <c r="Q26" i="37" s="1"/>
  <c r="Q32" i="37" s="1"/>
  <c r="Q59" i="37" s="1"/>
  <c r="P16" i="37"/>
  <c r="L26" i="38" l="1"/>
  <c r="Q34" i="38"/>
  <c r="O16" i="37"/>
  <c r="P56" i="37"/>
  <c r="O56" i="37"/>
  <c r="J24" i="38"/>
  <c r="I26" i="38"/>
  <c r="I32" i="38" s="1"/>
  <c r="L32" i="39"/>
  <c r="L63" i="39" s="1"/>
  <c r="P63" i="39"/>
  <c r="S40" i="38"/>
  <c r="S65" i="38"/>
  <c r="S67" i="38" s="1"/>
  <c r="M32" i="39"/>
  <c r="N32" i="39"/>
  <c r="N63" i="39" s="1"/>
  <c r="S63" i="39"/>
  <c r="U63" i="39" s="1"/>
  <c r="O38" i="39"/>
  <c r="O32" i="39"/>
  <c r="L39" i="38"/>
  <c r="L65" i="38" s="1"/>
  <c r="N65" i="38"/>
  <c r="M32" i="38"/>
  <c r="U26" i="38"/>
  <c r="S64" i="38"/>
  <c r="L32" i="38"/>
  <c r="S32" i="38"/>
  <c r="S26" i="37"/>
  <c r="O26" i="38"/>
  <c r="O32" i="38" s="1"/>
  <c r="P65" i="38"/>
  <c r="O39" i="38"/>
  <c r="U26" i="37"/>
  <c r="Q34" i="37"/>
  <c r="O32" i="37"/>
  <c r="S39" i="37"/>
  <c r="S40" i="37" s="1"/>
  <c r="Q56" i="37"/>
  <c r="L37" i="37"/>
  <c r="L26" i="37"/>
  <c r="S58" i="37" s="1"/>
  <c r="O26" i="37"/>
  <c r="M26" i="37"/>
  <c r="N59" i="37" s="1"/>
  <c r="P32" i="37"/>
  <c r="P39" i="37" s="1"/>
  <c r="L38" i="37"/>
  <c r="I59" i="37"/>
  <c r="T29" i="36"/>
  <c r="T25" i="36"/>
  <c r="T22" i="36"/>
  <c r="P22" i="36" s="1"/>
  <c r="M22" i="36" s="1"/>
  <c r="T21" i="36"/>
  <c r="T20" i="36"/>
  <c r="T19" i="36"/>
  <c r="P19" i="36" s="1"/>
  <c r="M19" i="36" s="1"/>
  <c r="T18" i="36"/>
  <c r="T17" i="36"/>
  <c r="T16" i="36"/>
  <c r="N30" i="36"/>
  <c r="J30" i="36"/>
  <c r="R29" i="36"/>
  <c r="Q29" i="36"/>
  <c r="P29" i="36"/>
  <c r="M29" i="36" s="1"/>
  <c r="R28" i="36"/>
  <c r="Q28" i="36"/>
  <c r="D26" i="36"/>
  <c r="C26" i="36"/>
  <c r="Q25" i="36"/>
  <c r="O25" i="36"/>
  <c r="M25" i="36"/>
  <c r="E25" i="36"/>
  <c r="Q24" i="36"/>
  <c r="E24" i="36"/>
  <c r="Q23" i="36"/>
  <c r="E23" i="36"/>
  <c r="Q22" i="36"/>
  <c r="E22" i="36"/>
  <c r="R21" i="36"/>
  <c r="Q21" i="36"/>
  <c r="N21" i="36"/>
  <c r="E21" i="36"/>
  <c r="R20" i="36"/>
  <c r="N20" i="36"/>
  <c r="Q19" i="36"/>
  <c r="R18" i="36"/>
  <c r="Q18" i="36"/>
  <c r="N18" i="36"/>
  <c r="R17" i="36"/>
  <c r="Q17" i="36"/>
  <c r="R16" i="36"/>
  <c r="P16" i="36" s="1"/>
  <c r="Q16" i="36"/>
  <c r="N26" i="36" l="1"/>
  <c r="I65" i="38"/>
  <c r="O63" i="39"/>
  <c r="L39" i="37"/>
  <c r="L59" i="37" s="1"/>
  <c r="P17" i="36"/>
  <c r="P21" i="36"/>
  <c r="P18" i="36"/>
  <c r="P20" i="36"/>
  <c r="M20" i="36" s="1"/>
  <c r="E26" i="36"/>
  <c r="O65" i="38"/>
  <c r="S59" i="37"/>
  <c r="S61" i="37" s="1"/>
  <c r="R26" i="36"/>
  <c r="M18" i="36"/>
  <c r="R30" i="36"/>
  <c r="P59" i="37"/>
  <c r="O39" i="37"/>
  <c r="O59" i="37" s="1"/>
  <c r="Q30" i="36"/>
  <c r="M30" i="36"/>
  <c r="P30" i="36" l="1"/>
  <c r="I16" i="33" l="1"/>
  <c r="E58" i="33"/>
  <c r="C58" i="33"/>
  <c r="S58" i="33"/>
  <c r="N58" i="33"/>
  <c r="D29" i="33"/>
  <c r="Q17" i="33"/>
  <c r="S17" i="33"/>
  <c r="L28" i="33"/>
  <c r="L27" i="33"/>
  <c r="L26" i="33"/>
  <c r="L25" i="33"/>
  <c r="I33" i="33"/>
  <c r="I40" i="33"/>
  <c r="M23" i="33"/>
  <c r="Q53" i="33"/>
  <c r="Q54" i="33"/>
  <c r="Q55" i="33"/>
  <c r="P53" i="33"/>
  <c r="P54" i="33"/>
  <c r="P55" i="33"/>
  <c r="J28" i="33"/>
  <c r="E28" i="33"/>
  <c r="J25" i="33"/>
  <c r="J26" i="33"/>
  <c r="J27" i="33"/>
  <c r="O26" i="33"/>
  <c r="O27" i="33"/>
  <c r="O28" i="33"/>
  <c r="O25" i="33"/>
  <c r="M24" i="33"/>
  <c r="S24" i="33" s="1"/>
  <c r="S23" i="33"/>
  <c r="O56" i="33"/>
  <c r="Q37" i="33"/>
  <c r="P37" i="33"/>
  <c r="O37" i="33"/>
  <c r="Q22" i="33"/>
  <c r="S22" i="33"/>
  <c r="S21" i="33"/>
  <c r="M21" i="33"/>
  <c r="P28" i="33"/>
  <c r="P27" i="33"/>
  <c r="P26" i="33"/>
  <c r="P25" i="33"/>
  <c r="O55" i="33"/>
  <c r="O54" i="33"/>
  <c r="O53" i="33"/>
  <c r="I61" i="33" l="1"/>
  <c r="M33" i="33"/>
  <c r="E47" i="33"/>
  <c r="O48" i="33"/>
  <c r="P48" i="33"/>
  <c r="Q48" i="33"/>
  <c r="E27" i="33"/>
  <c r="E26" i="33"/>
  <c r="E25" i="33"/>
  <c r="D33" i="33"/>
  <c r="E24" i="33"/>
  <c r="C33" i="33"/>
  <c r="Q24" i="33"/>
  <c r="P24" i="33"/>
  <c r="Q52" i="33"/>
  <c r="P52" i="33"/>
  <c r="O52" i="33"/>
  <c r="Q51" i="33"/>
  <c r="P51" i="33"/>
  <c r="O51" i="33"/>
  <c r="Q50" i="33"/>
  <c r="P50" i="33"/>
  <c r="O50" i="33"/>
  <c r="Q49" i="33"/>
  <c r="P49" i="33"/>
  <c r="O49" i="33"/>
  <c r="M40" i="33"/>
  <c r="Q39" i="33"/>
  <c r="P39" i="33"/>
  <c r="O39" i="33"/>
  <c r="S39" i="33" s="1"/>
  <c r="Q38" i="33"/>
  <c r="P38" i="33"/>
  <c r="O38" i="33"/>
  <c r="S38" i="33" s="1"/>
  <c r="Q23" i="33"/>
  <c r="L23" i="33"/>
  <c r="P22" i="33"/>
  <c r="L22" i="33"/>
  <c r="L33" i="33" s="1"/>
  <c r="S60" i="33" s="1"/>
  <c r="Q21" i="33"/>
  <c r="O21" i="33" s="1"/>
  <c r="P21" i="33"/>
  <c r="P17" i="33"/>
  <c r="Q16" i="33"/>
  <c r="P16" i="33"/>
  <c r="P58" i="33" l="1"/>
  <c r="Q58" i="33"/>
  <c r="O58" i="33"/>
  <c r="Q33" i="33"/>
  <c r="Q61" i="33" s="1"/>
  <c r="E33" i="33"/>
  <c r="O17" i="33"/>
  <c r="O24" i="33"/>
  <c r="Q40" i="33"/>
  <c r="O22" i="33"/>
  <c r="O23" i="33"/>
  <c r="S40" i="33"/>
  <c r="S41" i="33" s="1"/>
  <c r="L38" i="33"/>
  <c r="P40" i="33"/>
  <c r="S16" i="33"/>
  <c r="O16" i="33" s="1"/>
  <c r="N61" i="33"/>
  <c r="L39" i="33"/>
  <c r="O33" i="33" l="1"/>
  <c r="S33" i="33"/>
  <c r="O40" i="33"/>
  <c r="L40" i="33"/>
  <c r="L61" i="33" s="1"/>
  <c r="O61" i="33" l="1"/>
  <c r="T24" i="36" l="1"/>
  <c r="P24" i="36" s="1"/>
  <c r="M24" i="36" s="1"/>
  <c r="M23" i="36"/>
  <c r="M26" i="36" s="1"/>
  <c r="T23" i="36"/>
  <c r="P23" i="36" s="1"/>
  <c r="P26" i="36" s="1"/>
  <c r="T70" i="43"/>
  <c r="T70" i="42"/>
  <c r="T70" i="39"/>
  <c r="T73" i="38"/>
</calcChain>
</file>

<file path=xl/sharedStrings.xml><?xml version="1.0" encoding="utf-8"?>
<sst xmlns="http://schemas.openxmlformats.org/spreadsheetml/2006/main" count="1300" uniqueCount="237">
  <si>
    <t>Согласовано</t>
  </si>
  <si>
    <t>Начальник финансового</t>
  </si>
  <si>
    <t>отдела Могилевского района</t>
  </si>
  <si>
    <t xml:space="preserve"> </t>
  </si>
  <si>
    <t>№ п/п</t>
  </si>
  <si>
    <t>Могилевского облисполкома</t>
  </si>
  <si>
    <t>__________________ И.В.Чиндо</t>
  </si>
  <si>
    <t>июль</t>
  </si>
  <si>
    <t>май</t>
  </si>
  <si>
    <t>сентябрь</t>
  </si>
  <si>
    <t>Капитальный ремонт жилого дома №12 по ул.Фабричной в аг.Межисетки Могилевского района</t>
  </si>
  <si>
    <t>апрель</t>
  </si>
  <si>
    <t>июнь</t>
  </si>
  <si>
    <t>август</t>
  </si>
  <si>
    <t>Наименование объекта</t>
  </si>
  <si>
    <t>Общая площадь квартир жилых домов, м.кв.</t>
  </si>
  <si>
    <t>Ввод  площади в текушем году, кв.м.</t>
  </si>
  <si>
    <t>Сроки проведения капитального ремонта</t>
  </si>
  <si>
    <t>Стоимость проведения капитального ремонта,</t>
  </si>
  <si>
    <t>всего</t>
  </si>
  <si>
    <t>начало</t>
  </si>
  <si>
    <t>окончание</t>
  </si>
  <si>
    <t>сметная</t>
  </si>
  <si>
    <t>договорная</t>
  </si>
  <si>
    <t>бюджет</t>
  </si>
  <si>
    <t>сумма от внесения платы за к/р граждан и арендаторами нежилых помещений</t>
  </si>
  <si>
    <t>Объекты с вводом площади* в текущем году</t>
  </si>
  <si>
    <t>Объекты  без ввода площади в текущем году</t>
  </si>
  <si>
    <t>Объекты  по капитальному ремонту отдельных конструктивных элементов</t>
  </si>
  <si>
    <t>Затраты заказчика</t>
  </si>
  <si>
    <t>Капитальный ремонт  жилого дома №15 А по ул.Центральной в д.Подгорье  Могилевского района</t>
  </si>
  <si>
    <t>ИТОГО ПО РАЗДЕЛУ</t>
  </si>
  <si>
    <t xml:space="preserve">ИТОГО ПО РАЗДЕЛУ </t>
  </si>
  <si>
    <t>УТВЕРЖДЕНО</t>
  </si>
  <si>
    <t>Решение  Могилевского РИК</t>
  </si>
  <si>
    <t xml:space="preserve">№________ </t>
  </si>
  <si>
    <t>Капитальный ремонт  жилого дома №4 по ул.Краснозвездной в д.Салтановка Могилевского района</t>
  </si>
  <si>
    <t>Капитальный ремонт  жилого дома №6 по ул.Молодежной в аг.Дашковка  Могилевского района</t>
  </si>
  <si>
    <t>Капитальный ремонт  жилого дома №3 по ул.Легендарной в аг.Буйничи Могилевского района</t>
  </si>
  <si>
    <t>-</t>
  </si>
  <si>
    <t>Начальник ЖЭО</t>
  </si>
  <si>
    <t>Х</t>
  </si>
  <si>
    <t>Управление ЖКХ</t>
  </si>
  <si>
    <t>____________________ _____________</t>
  </si>
  <si>
    <t>Капитальный ремонт  с элементами модернизации жилого дома №3 по ул.Краснозвездной в д.Салтановка Могилевского района</t>
  </si>
  <si>
    <t>В.А.Симаков</t>
  </si>
  <si>
    <t>В том числе за счет средств, поступивших в 2017 году:</t>
  </si>
  <si>
    <t>октябрь</t>
  </si>
  <si>
    <t xml:space="preserve">Капитальный ремонт с элементами модернизации жилого дома №1 по ул.Краснозвездной в д.Салтановка Могилевского района. </t>
  </si>
  <si>
    <t>Затраты заказчика, застройщика (инженерной организации)</t>
  </si>
  <si>
    <t xml:space="preserve">Начальник  ПТО </t>
  </si>
  <si>
    <t xml:space="preserve">Разработка проектной документации </t>
  </si>
  <si>
    <t>Капитальный ремонт с элементами модернизации жилого дома №6 по ул.Юбилейной в д.Брыли Могилевского района. 2-й пусковой комплекс</t>
  </si>
  <si>
    <t>Капитальный ремонт с элементами модернизации жилого дома №8 по ул.Юбилейной в д.Брыли Могилевского района. 2-й пусковой комплекс</t>
  </si>
  <si>
    <t>Капитальный ремонт с элементами модернизации жилого дома №3по ул.Центальной в аг.Восход  Могилевского района. 2-й пусковой комплекс</t>
  </si>
  <si>
    <t>Капитальный ремонт  жилого дома №32 по ул.Новоселов в аг.Речки Могилевского района</t>
  </si>
  <si>
    <t>Капитальный ремонт с элементами модернизации жилого дома №7 по ул.Хроменкова в д.Новое Пашково Могилевского района.</t>
  </si>
  <si>
    <t>Капитальный ремонт   жилого дома №4  по ул.Фабричной  в аг.Романовичи Могилевского района</t>
  </si>
  <si>
    <t>Капитальный ремонт жилого дома №3 по ул.Вейнянской  в аг.Вейно Могилевского района</t>
  </si>
  <si>
    <t>Текущий график капитального ремонта жилищного фонда 2018 год</t>
  </si>
  <si>
    <t>"____" _____________ 2018 г.</t>
  </si>
  <si>
    <t>"_____" ________________ 2018 г.</t>
  </si>
  <si>
    <t>"____ "_____________2018 г.</t>
  </si>
  <si>
    <t>2018год</t>
  </si>
  <si>
    <t>2018 год</t>
  </si>
  <si>
    <t>Использовано средств  на 01.01.2018  руб.</t>
  </si>
  <si>
    <t>кредиторская задолженность на 01.01.2018 г.</t>
  </si>
  <si>
    <t>стоимость работ на 2018 г.</t>
  </si>
  <si>
    <t>План финансирования 2018 года, рублей</t>
  </si>
  <si>
    <t>месяц</t>
  </si>
  <si>
    <t>7.</t>
  </si>
  <si>
    <t>1.</t>
  </si>
  <si>
    <t>8.</t>
  </si>
  <si>
    <t>9.</t>
  </si>
  <si>
    <t>февраль</t>
  </si>
  <si>
    <t>март</t>
  </si>
  <si>
    <t>пер.2017</t>
  </si>
  <si>
    <t>руб.</t>
  </si>
  <si>
    <t xml:space="preserve">Капитальный ремонт с элементами модернизации жилого дома №2 по ул. Пионерской в аг. Вейно Могилевского района </t>
  </si>
  <si>
    <t>Капитальный ремонт жилого дома №19 по ул.Комплексной, аг.Полыковичи Могилевского района</t>
  </si>
  <si>
    <t>Капитальный ремонт жилого дома №12 по ул.Придорожной,  в снп.Полыковичские Хутора  Могилевского района</t>
  </si>
  <si>
    <t>ИТОГО финансирование 2018 года</t>
  </si>
  <si>
    <t xml:space="preserve">Капитальный ремонт с элементами модернизации жилого дома № 2 по ул. Пионерской в аг. Вейно Могилевского района </t>
  </si>
  <si>
    <t>Капитальный ремонт   жилого дома №6 по ул.Лесной  в аг.Восход Могилевского района</t>
  </si>
  <si>
    <t>В том числе остаток за 2017 год:</t>
  </si>
  <si>
    <t>миюль</t>
  </si>
  <si>
    <t xml:space="preserve">июль </t>
  </si>
  <si>
    <t>11.</t>
  </si>
  <si>
    <t xml:space="preserve">Капитальный ремонт с элементами модернизации жилого дома №3 по ул. Пионерской в аг.Вейно Могилевского района. </t>
  </si>
  <si>
    <t xml:space="preserve">Капитальный ремонт с элементами модернизации жилого дома №68 по ул.Советской в д.Лыково Могилевского района. </t>
  </si>
  <si>
    <t>Капитальный ремонт   жилого дома № 1  по ул.Молодежной вд.Амховая Могилевского района</t>
  </si>
  <si>
    <t xml:space="preserve"> В том числе затраты заказчика, застройщика (инженерной организации)</t>
  </si>
  <si>
    <t>ИТОГО ПО РАЗДЕЛУ  2</t>
  </si>
  <si>
    <t>Капитальный ремонт   жилого дома №  1  по ул.Молодежной вд.Амховая Могилевского района</t>
  </si>
  <si>
    <t>ИТОГО ПО РАЗДЕЛУ 1</t>
  </si>
  <si>
    <t>В.С.Мелех</t>
  </si>
  <si>
    <t>Зам.директора по капитальному строительству</t>
  </si>
  <si>
    <t>Сметная стоимость проведения капитального ремонта,</t>
  </si>
  <si>
    <t>Стоимость одного  метра кв.</t>
  </si>
  <si>
    <t>Год постройки</t>
  </si>
  <si>
    <t>Директор предпритятия</t>
  </si>
  <si>
    <t>За счет средств, поступивших в 2017 году:</t>
  </si>
  <si>
    <t>Итого  финансирование 2018 года</t>
  </si>
  <si>
    <t>ВСЕГО ФИНАНСИРОВАНИЕ 2018 года</t>
  </si>
  <si>
    <t>Переходящие объекты без  ввода площадей (задолженность)</t>
  </si>
  <si>
    <t>ИТОГО ПО РАЗДЕЛУ 3</t>
  </si>
  <si>
    <t>Остаток средств на 01.01.2018 г. (отчисления населения)</t>
  </si>
  <si>
    <t>Капитальный ремонт жилого дома № 8 по ул.Лесная,  в а/г.Восход   Могилевского района</t>
  </si>
  <si>
    <t>Капитальный ремонт жилого дома № 1 по ул.Танковая,  в снп Голынец    Могилевского района</t>
  </si>
  <si>
    <t>Капитальный ремонт жилого дома № 8 по ул.Молодежная,  в а.г. Дашковка    Могилевского района</t>
  </si>
  <si>
    <t xml:space="preserve">Капитальный ремонт  жилого дома № 5 по ул. Пионерской в аг.Вейно Могилевского района. </t>
  </si>
  <si>
    <t xml:space="preserve"> В том числе затраты заказчика, застройщика (инженерной организации) ( Обследование зданий, затраты на выдачу заключений Энергонадзора, Госстройнадзора, затраты по вводу объектов согласно сводного сметного расчета)</t>
  </si>
  <si>
    <t xml:space="preserve">Капитальный ремонт  жилого дома №  4 по ул.Краснозвездной в д.Салтановка Могилевского района. </t>
  </si>
  <si>
    <t>Капитальный ремонт с элементами модернизации жилого дома № 5 по ул.Хроменкова в д.Новое Пашково Могилевского района.</t>
  </si>
  <si>
    <t>ВСЕГО   финансирование 2018 года</t>
  </si>
  <si>
    <t xml:space="preserve">__________________ </t>
  </si>
  <si>
    <t xml:space="preserve">                                                                                утвержденного Министерством архитектуры и строительства и Министерством ЖКХ № 22/17 от 14.07.2015 г.</t>
  </si>
  <si>
    <t xml:space="preserve">                                           Расчет стоимость одного метра квадратного  общей площади жилых домов </t>
  </si>
  <si>
    <t xml:space="preserve">ИТОГО ПО РАЗДЕЛУ  </t>
  </si>
  <si>
    <t xml:space="preserve"> Н.Н.Досова </t>
  </si>
  <si>
    <t xml:space="preserve"> в том числе остаток средств на 01.01.2018 г. (отчисления населения)</t>
  </si>
  <si>
    <t>Н.А.Войтов</t>
  </si>
  <si>
    <t>Н.Н.Досова</t>
  </si>
  <si>
    <t>Затраты заказчика по обследованию зданий, выдачу заключений</t>
  </si>
  <si>
    <t>х</t>
  </si>
  <si>
    <t>Объекты без ввода площади в текущем году</t>
  </si>
  <si>
    <t xml:space="preserve">ИТОГО разработка проектной документации </t>
  </si>
  <si>
    <t>год</t>
  </si>
  <si>
    <t>Капитальный ремонт жилого дома № 7 по ул.Краснозвездная в д.Салтановка Могилевского района</t>
  </si>
  <si>
    <t>ТЕКУЩИЙ ГРАФИК</t>
  </si>
  <si>
    <t>Капитальный ремонт жилого дома № 10а по ул.Центральной  в д.Подгорье Могилевского района</t>
  </si>
  <si>
    <t>Капитальный ремонт жилого дома № 12а по ул.Центральная  в д. Подгорье Могилевского района</t>
  </si>
  <si>
    <t>ИТОГО по объектам без ввода площади в текущем году</t>
  </si>
  <si>
    <t>Капитальный ремонт жилого дома № 14а по ул.Центральной  в д.Подгорье Могилевского района</t>
  </si>
  <si>
    <t>Капитальный ремонт жилого дома № 10 по ул. Легендарной в аг.Буйничи Могилевского района</t>
  </si>
  <si>
    <t>июнь 2024</t>
  </si>
  <si>
    <t>декабрь 2023</t>
  </si>
  <si>
    <t>март 2024</t>
  </si>
  <si>
    <t>Стоимость 1 кв. м., руб.</t>
  </si>
  <si>
    <t>Виды ремоно-строительных работ</t>
  </si>
  <si>
    <t>Подрядная организация</t>
  </si>
  <si>
    <t>месяц, год</t>
  </si>
  <si>
    <t>проведение торгов</t>
  </si>
  <si>
    <t>Капитальный ремонт жилого дома № 2 по ул. Школьной  в аг.Буйничи Могилевского района</t>
  </si>
  <si>
    <t>Замена кровли, ремонт вентшахт, ремонт фасадов, ремонт лоджий, замена оконных и дверных заполнений в местах общего пользования, замена отмостки, замена световых приямков, ремонт входных групп, замена инженерных сетей</t>
  </si>
  <si>
    <t xml:space="preserve">Устройство ходовых дорожек и организованного водостока с крыши, ремонт вентшахт, ремонт фасадов, ремонт лоджий, замена оконных и дверных заполнений в местах общего пользования, ремонт цоколя и отмостки, ремонт входных групп, замена инженерных сетей </t>
  </si>
  <si>
    <t>Замена рулонного покрытия кровли, ремонт вентшахт, ремонт фасадов, ремонт лоджий, замена оконных заполнений в местах общего пользования, ремонт цоколя и отмостки, ремонт входных групп, замена инженерных сетей</t>
  </si>
  <si>
    <t>Замена кровли, ремонт вентшахт, ремонт фасадов, ремонт цоколя и отмостки, ремонт входных групп, устройство узла учета тепла</t>
  </si>
  <si>
    <t>Замена кровли, ремонт вентшахт, ремонт фасадов, ремонт лоджий, замена оконных заполнений в местах общего пользования, ремонт отмостки, ремонт входной группызамена инженерных сетей</t>
  </si>
  <si>
    <t>август 2024</t>
  </si>
  <si>
    <t>май 2024</t>
  </si>
  <si>
    <t>январь 2023</t>
  </si>
  <si>
    <t>апрель 2024</t>
  </si>
  <si>
    <t>январь 2024</t>
  </si>
  <si>
    <t>Капитальный ремонт жилого дома № 3 по ул.Школьной в аг.Вейно Могилевского района</t>
  </si>
  <si>
    <t>Капитальный ремонт жилого дома № 6 по ул.Парковой в аг. Дашковка Могилевского района</t>
  </si>
  <si>
    <t>Капитальный ремонт жилого дома № 9 по ул. Легендарной в аг. Буйничи Могилевского района</t>
  </si>
  <si>
    <t>Капитальный ремонт жилого дома № 9 по ул. Фабричной в аг. Романовичи Могилевского района</t>
  </si>
  <si>
    <t>Капитальный ремонт жилого дома № 19А по ул.Центральной в д. Подгорье Могилевского района</t>
  </si>
  <si>
    <t>Капитальный ремонт жилого дома № 5 по ул.Краснозвездной в д. Салтановка Могилевского района</t>
  </si>
  <si>
    <t>Капитальный ремонт жилого дома № 14 по ул.Центральной в аг. Кадино Могилевского района</t>
  </si>
  <si>
    <t>Капитальный ремонт жилого дома № 8 по ул.Центральной в аг. Кадино Могилевского района</t>
  </si>
  <si>
    <t>Капитальный ремонт жилого дома № 17 по ул. Полевой в д. Новое Пашково Могилевского района</t>
  </si>
  <si>
    <t>Капитальный ремонт жилого дома № 23 по ул. Хроменкова в д. Новое Пашково Могилевского района</t>
  </si>
  <si>
    <t>МУКП "Жилкомхоз"</t>
  </si>
  <si>
    <t>Капитальный ремонт жилого дома № 4 по ул. Придорожной в п.Полыковичские Хутора Могилевского района</t>
  </si>
  <si>
    <t>Капитальный ремонт жилого дома № 4 по  ул. Молодежной в д.Амховая-1 Могилевского района</t>
  </si>
  <si>
    <t>Капитальный ремонт здания общежития № 12 по ул. Легендарной в аг. Буйничи Могилевского района</t>
  </si>
  <si>
    <t>Замена кровли, ремонт вентшахт, ремонт фасадов, ремонт лоджий, замена оконных заполнений в местах общего пользования, ремонт отмостки, ремонт входной группы, замена инженерных сетей</t>
  </si>
  <si>
    <t>Замена кровли, ремонт вентшахт, ремонт фасадов, ремонт лоджий, замена оконных заполнений в местах общего пользования, ремонт отмостки, ремонт входной группы</t>
  </si>
  <si>
    <t>УКП "Ремспецстрой"</t>
  </si>
  <si>
    <t xml:space="preserve"> апрель 2024</t>
  </si>
  <si>
    <t>население</t>
  </si>
  <si>
    <t>июль 2024</t>
  </si>
  <si>
    <t>Нормативный срок</t>
  </si>
  <si>
    <t>Площадь</t>
  </si>
  <si>
    <t>Замена внутридомовой системы электроснабжения  в жилом доме № 2 по пер. Молодежному в аг.Мосток Могилевского района</t>
  </si>
  <si>
    <t>Замена внутридомовой системы электроснабжения  в жилом доме № 3 по пер. Молодежному в аг.Мосток Могилевского района</t>
  </si>
  <si>
    <t>Замена внутридомовой системы электроснабжения  в жилом доме № 4 по пер. Молодежному в аг.Мосток Могилевского района</t>
  </si>
  <si>
    <t>Замена внутридомовой системы электроснабжения  в жилом доме № 5 по пер. Молодежному в аг.Мосток Могилевского района</t>
  </si>
  <si>
    <t>ноябрь 2023</t>
  </si>
  <si>
    <t>Без ввода площади</t>
  </si>
  <si>
    <t>ПСД</t>
  </si>
  <si>
    <t>Проектное бюро</t>
  </si>
  <si>
    <t>Могилевдопроект</t>
  </si>
  <si>
    <t>ноябрь 2024</t>
  </si>
  <si>
    <t>ИТОГО объекты с вводом площади в текущем году</t>
  </si>
  <si>
    <t>Объекты с вводом площади в текущем году</t>
  </si>
  <si>
    <t>февраль 2025</t>
  </si>
  <si>
    <t>Капитальный ремонт жилого дома № 8 по ул.Центральной в аг.Кадино Могилевского района</t>
  </si>
  <si>
    <t>Капитальный ремонт жилого дома № 14 по ул.Центральной в аг.Кадино Могилевского района</t>
  </si>
  <si>
    <t>Капитальный ремонт жилого дома № 9 по ул. Фабричной в аг.Романовичи Могилевского района</t>
  </si>
  <si>
    <t>Капитальный ремонт жилого дома № 9 по ул. Легендарной в аг.Буйничи Могилевского района</t>
  </si>
  <si>
    <t>Капитальный ремонт жилого дома № 1 по ул. Вейнянской в аг. Вейно Могилевского района</t>
  </si>
  <si>
    <t>август 2025</t>
  </si>
  <si>
    <t>июль 2025</t>
  </si>
  <si>
    <t>май 2025</t>
  </si>
  <si>
    <t>июнь 2025</t>
  </si>
  <si>
    <t>апрель 2025</t>
  </si>
  <si>
    <t>март 2025</t>
  </si>
  <si>
    <t>Капитальный ремонт жилого дома № 25 по ул. Фабричной в аг. Романовичи Могилевского района</t>
  </si>
  <si>
    <t>Капитальный ремонт жилого дома № 8 по ул. Легендарной в аг. Буйничи Могилевского района</t>
  </si>
  <si>
    <t>Капитальный ремонт жилого дома № 5 по ул. Легендарной в аг. Буйничи Могилевского района</t>
  </si>
  <si>
    <t>Капитальный ремонт жилого дома № 19А по                           ул. Центральной в д. Подгорье Могилевского района</t>
  </si>
  <si>
    <t>капитального ремонта жилищного фонда на 2025 год</t>
  </si>
  <si>
    <t>Капитальный ремонт жилого дома № 5 по ул. Полевой в                д. Боровка Могилевского района</t>
  </si>
  <si>
    <t>Капитальный ремонт жилого дома № 6 по ул. Полевой в              д. Боровка Могилевского района</t>
  </si>
  <si>
    <t>исполнительного комитета</t>
  </si>
  <si>
    <t xml:space="preserve">Решение  Могилевского районного </t>
  </si>
  <si>
    <t>Капитальный ремонт инженерных сетей жилого дома № 34 по ул. Новоселов в аг. Речки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</si>
  <si>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8 по ул. Пионерской в д.Черемушки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</si>
  <si>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10 по ул. Пионерской в д.Черемушки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</si>
  <si>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12 по ул. Пионерской в д.Черемушки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</si>
  <si>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14 по ул. Пионерской в д.Черемушки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</si>
  <si>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22 по ул. Центральной в   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</si>
  <si>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29 по ул. Центральной в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</si>
  <si>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33 по ул. Центральной в   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</si>
  <si>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31 по ул. Центральной в 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</si>
  <si>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22 по ул. Центральной в    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</si>
  <si>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29 по ул. Центральной в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</si>
  <si>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31 по ул. Центральной в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</si>
  <si>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33 по ул. Центральной в 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</si>
  <si>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 по ул. Лесной в                   аг. Вендорож Могилевского района</t>
  </si>
  <si>
    <t>Капитальный ремонт жилого дома № 6 по ул. Парковой в    аг. Дашковка Могилевского района</t>
  </si>
  <si>
    <t>Капитальный ремонт жилого дома № 3 по ул. Школьной в   аг. Вейно Могилевского района</t>
  </si>
  <si>
    <t>Капитальныи ремонт жилого дома № 8 по ул. Парковой в    аг. Дашковка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</si>
  <si>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 по ул. Молодежной в                   д. Амховая 1 Могилевского района</t>
  </si>
  <si>
    <t>Капитальный ремонт жилого дома № 28 по ул. Новоселов в              аг. Речки Могилевского района</t>
  </si>
  <si>
    <t>Капитальный ремонт жилого дома № 10 по ул. Центральной в              аг. Восход Могилевского района</t>
  </si>
  <si>
    <t>ноябрь 2025</t>
  </si>
  <si>
    <t>январь 2026</t>
  </si>
  <si>
    <t>Объекты по капитальному ремонту отдельных конструктивных элементов</t>
  </si>
  <si>
    <t xml:space="preserve">21.01.2025 № 3-22 </t>
  </si>
  <si>
    <t>Капитальный ремонт жилого дома № 2а по ул. Молодежной в д. Тишовка Могилевского района</t>
  </si>
  <si>
    <t>октябрь 2025</t>
  </si>
  <si>
    <t xml:space="preserve">Капитальный ремонт подвального помещения жилого дома            № 25 по ул. Центральной в аг. Восход Могилевского района </t>
  </si>
  <si>
    <t>сентябрь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</si>
</sst>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5" x14ac:knownFonts="1">
    <font>
      <sz val="10"/>
      <name val="Arial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i/>
      <sz val="14"/>
      <name val="Times New Roman"/>
      <family val="1"/>
      <charset val="204"/>
    </font>
    <font>
      <i/>
      <u/>
      <sz val="14"/>
      <name val="Times New Roman"/>
      <family val="1"/>
      <charset val="204"/>
    </font>
    <font>
      <b/>
      <u/>
      <sz val="16"/>
      <name val="Times New Roman"/>
      <family val="1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b/>
      <sz val="16"/>
      <name val="Times New Roman"/>
      <family val="1"/>
      <charset val="204"/>
    </font>
    <font>
      <sz val="16"/>
      <color theme="0"/>
      <name val="Times New Roman"/>
      <family val="1"/>
      <charset val="204"/>
    </font>
    <font>
      <b/>
      <sz val="14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i/>
      <u/>
      <sz val="14"/>
      <name val="Times New Roman"/>
      <family val="1"/>
      <charset val="204"/>
    </font>
    <font>
      <b/>
      <sz val="16"/>
      <name val="Arial"/>
      <family val="2"/>
      <charset val="204"/>
    </font>
    <font>
      <sz val="16"/>
      <name val="Times New Roman"/>
      <family val="1"/>
      <charset val="204"/>
    </font>
    <font>
      <b/>
      <u/>
      <sz val="18"/>
      <name val="Times New Roman"/>
      <family val="1"/>
      <charset val="204"/>
    </font>
    <font>
      <b/>
      <sz val="10"/>
      <name val="Arial"/>
      <family val="2"/>
      <charset val="204"/>
    </font>
    <font>
      <sz val="13"/>
      <color rgb="FF343E47"/>
      <name val="Bookman Old Style"/>
      <family val="1"/>
      <charset val="204"/>
    </font>
    <font>
      <b/>
      <u/>
      <sz val="14"/>
      <name val="Times New Roman"/>
      <family val="1"/>
      <charset val="204"/>
    </font>
    <font>
      <sz val="16"/>
      <name val="Arial"/>
      <family val="2"/>
      <charset val="204"/>
    </font>
    <font>
      <b/>
      <sz val="11"/>
      <name val="Arial"/>
      <family val="2"/>
      <charset val="204"/>
    </font>
    <font>
      <b/>
      <sz val="2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0"/>
      <name val="Arial"/>
      <family val="2"/>
      <charset val="204"/>
    </font>
    <font>
      <sz val="11.5"/>
      <name val="Times New Roman"/>
      <family val="1"/>
      <charset val="204"/>
    </font>
    <font>
      <sz val="11.5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3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87">
    <xf numFmtId="0" fontId="0" fillId="0" borderId="0" xfId="0"/>
    <xf numFmtId="0" fontId="2" fillId="0" borderId="0" xfId="0" applyFont="1"/>
    <xf numFmtId="3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justify" vertical="top" wrapText="1"/>
    </xf>
    <xf numFmtId="164" fontId="2" fillId="3" borderId="1" xfId="0" applyNumberFormat="1" applyFont="1" applyFill="1" applyBorder="1" applyAlignment="1">
      <alignment horizontal="justify" vertical="top" wrapText="1"/>
    </xf>
    <xf numFmtId="0" fontId="3" fillId="3" borderId="2" xfId="0" applyFont="1" applyFill="1" applyBorder="1" applyAlignment="1">
      <alignment horizontal="justify"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vertical="top" wrapText="1"/>
    </xf>
    <xf numFmtId="0" fontId="1" fillId="0" borderId="0" xfId="0" applyFont="1" applyAlignment="1">
      <alignment horizontal="justify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1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justify" vertical="top" wrapText="1"/>
    </xf>
    <xf numFmtId="0" fontId="2" fillId="0" borderId="2" xfId="0" applyFont="1" applyBorder="1" applyAlignment="1">
      <alignment horizontal="justify" vertical="top" wrapText="1"/>
    </xf>
    <xf numFmtId="164" fontId="3" fillId="0" borderId="1" xfId="0" applyNumberFormat="1" applyFont="1" applyBorder="1" applyAlignment="1">
      <alignment horizontal="center" vertical="center" wrapText="1"/>
    </xf>
    <xf numFmtId="0" fontId="8" fillId="0" borderId="0" xfId="0" applyFont="1"/>
    <xf numFmtId="4" fontId="3" fillId="0" borderId="1" xfId="0" applyNumberFormat="1" applyFont="1" applyBorder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2" fillId="0" borderId="2" xfId="0" applyFont="1" applyBorder="1" applyAlignment="1">
      <alignment horizontal="justify" vertical="center" wrapText="1"/>
    </xf>
    <xf numFmtId="2" fontId="9" fillId="0" borderId="0" xfId="0" applyNumberFormat="1" applyFont="1"/>
    <xf numFmtId="2" fontId="3" fillId="3" borderId="1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64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justify" vertical="top" wrapText="1"/>
    </xf>
    <xf numFmtId="164" fontId="2" fillId="4" borderId="1" xfId="0" applyNumberFormat="1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3" fillId="4" borderId="6" xfId="0" applyFont="1" applyFill="1" applyBorder="1" applyAlignment="1">
      <alignment wrapText="1"/>
    </xf>
    <xf numFmtId="164" fontId="2" fillId="3" borderId="1" xfId="0" applyNumberFormat="1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4" fontId="3" fillId="3" borderId="2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164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justify"/>
    </xf>
    <xf numFmtId="0" fontId="4" fillId="0" borderId="0" xfId="0" applyFont="1"/>
    <xf numFmtId="2" fontId="4" fillId="0" borderId="0" xfId="0" applyNumberFormat="1" applyFont="1"/>
    <xf numFmtId="0" fontId="3" fillId="2" borderId="1" xfId="0" applyFont="1" applyFill="1" applyBorder="1" applyAlignment="1">
      <alignment horizontal="left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justify" vertical="top" wrapText="1"/>
    </xf>
    <xf numFmtId="2" fontId="3" fillId="0" borderId="7" xfId="0" applyNumberFormat="1" applyFont="1" applyBorder="1" applyAlignment="1">
      <alignment horizontal="center" vertical="center" wrapText="1"/>
    </xf>
    <xf numFmtId="0" fontId="11" fillId="0" borderId="0" xfId="0" applyFont="1"/>
    <xf numFmtId="0" fontId="3" fillId="0" borderId="1" xfId="0" applyFont="1" applyBorder="1" applyAlignment="1">
      <alignment horizontal="justify" vertical="top" wrapText="1"/>
    </xf>
    <xf numFmtId="0" fontId="3" fillId="0" borderId="2" xfId="0" applyFont="1" applyBorder="1" applyAlignment="1">
      <alignment horizontal="justify" vertical="top" wrapText="1"/>
    </xf>
    <xf numFmtId="165" fontId="3" fillId="0" borderId="1" xfId="0" applyNumberFormat="1" applyFont="1" applyBorder="1" applyAlignment="1">
      <alignment horizontal="left" vertical="center" wrapText="1"/>
    </xf>
    <xf numFmtId="0" fontId="3" fillId="0" borderId="5" xfId="0" applyFont="1" applyBorder="1" applyAlignment="1">
      <alignment horizontal="justify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justify" vertical="top" wrapText="1"/>
    </xf>
    <xf numFmtId="4" fontId="3" fillId="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justify" vertical="top" wrapText="1"/>
    </xf>
    <xf numFmtId="0" fontId="14" fillId="0" borderId="2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justify" vertical="top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4" borderId="13" xfId="0" applyNumberFormat="1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2" fontId="3" fillId="4" borderId="13" xfId="0" applyNumberFormat="1" applyFont="1" applyFill="1" applyBorder="1" applyAlignment="1">
      <alignment horizontal="center" vertical="center" wrapText="1"/>
    </xf>
    <xf numFmtId="4" fontId="3" fillId="4" borderId="13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3" fillId="2" borderId="1" xfId="0" applyFont="1" applyFill="1" applyBorder="1" applyAlignment="1">
      <alignment horizontal="center" vertical="center" wrapText="1"/>
    </xf>
    <xf numFmtId="4" fontId="13" fillId="0" borderId="2" xfId="0" applyNumberFormat="1" applyFont="1" applyBorder="1" applyAlignment="1">
      <alignment horizontal="center" vertical="center" wrapText="1"/>
    </xf>
    <xf numFmtId="4" fontId="13" fillId="0" borderId="6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wrapText="1"/>
    </xf>
    <xf numFmtId="4" fontId="13" fillId="0" borderId="1" xfId="0" applyNumberFormat="1" applyFont="1" applyBorder="1" applyAlignment="1">
      <alignment horizontal="center" vertical="center" wrapText="1"/>
    </xf>
    <xf numFmtId="2" fontId="13" fillId="0" borderId="6" xfId="0" applyNumberFormat="1" applyFont="1" applyBorder="1" applyAlignment="1">
      <alignment horizontal="center" vertical="center" wrapText="1"/>
    </xf>
    <xf numFmtId="4" fontId="13" fillId="5" borderId="1" xfId="0" applyNumberFormat="1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horizontal="center" vertical="center" wrapText="1"/>
    </xf>
    <xf numFmtId="4" fontId="13" fillId="2" borderId="6" xfId="0" applyNumberFormat="1" applyFont="1" applyFill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center" vertical="center" wrapText="1"/>
    </xf>
    <xf numFmtId="4" fontId="13" fillId="2" borderId="1" xfId="0" applyNumberFormat="1" applyFont="1" applyFill="1" applyBorder="1" applyAlignment="1">
      <alignment horizont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0" fontId="15" fillId="0" borderId="0" xfId="0" applyFont="1"/>
    <xf numFmtId="0" fontId="14" fillId="0" borderId="0" xfId="0" applyFont="1" applyAlignment="1">
      <alignment horizontal="justify"/>
    </xf>
    <xf numFmtId="2" fontId="3" fillId="4" borderId="6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justify" vertical="top" wrapText="1"/>
    </xf>
    <xf numFmtId="164" fontId="2" fillId="2" borderId="1" xfId="0" applyNumberFormat="1" applyFont="1" applyFill="1" applyBorder="1" applyAlignment="1">
      <alignment horizontal="justify" vertical="top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4" fontId="3" fillId="2" borderId="2" xfId="0" applyNumberFormat="1" applyFont="1" applyFill="1" applyBorder="1" applyAlignment="1">
      <alignment horizontal="justify" vertical="top" wrapText="1"/>
    </xf>
    <xf numFmtId="0" fontId="3" fillId="2" borderId="6" xfId="0" applyFont="1" applyFill="1" applyBorder="1" applyAlignment="1">
      <alignment horizontal="justify" vertical="top" wrapText="1"/>
    </xf>
    <xf numFmtId="0" fontId="3" fillId="2" borderId="1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justify" vertical="top" wrapText="1"/>
    </xf>
    <xf numFmtId="2" fontId="3" fillId="2" borderId="6" xfId="0" applyNumberFormat="1" applyFont="1" applyFill="1" applyBorder="1" applyAlignment="1">
      <alignment horizontal="justify" vertical="top" wrapText="1"/>
    </xf>
    <xf numFmtId="2" fontId="3" fillId="2" borderId="1" xfId="0" applyNumberFormat="1" applyFont="1" applyFill="1" applyBorder="1" applyAlignment="1">
      <alignment horizontal="justify" vertical="top" wrapText="1"/>
    </xf>
    <xf numFmtId="2" fontId="3" fillId="2" borderId="1" xfId="0" applyNumberFormat="1" applyFont="1" applyFill="1" applyBorder="1" applyAlignment="1">
      <alignment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2" fontId="3" fillId="0" borderId="3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justify" vertical="top" wrapText="1"/>
    </xf>
    <xf numFmtId="0" fontId="13" fillId="2" borderId="2" xfId="0" applyFont="1" applyFill="1" applyBorder="1" applyAlignment="1">
      <alignment horizontal="justify" vertical="top" wrapText="1"/>
    </xf>
    <xf numFmtId="0" fontId="13" fillId="0" borderId="1" xfId="0" applyFont="1" applyBorder="1" applyAlignment="1">
      <alignment horizontal="justify" vertical="top" wrapText="1"/>
    </xf>
    <xf numFmtId="0" fontId="13" fillId="0" borderId="2" xfId="0" applyFont="1" applyBorder="1" applyAlignment="1">
      <alignment horizontal="justify" vertical="top" wrapText="1"/>
    </xf>
    <xf numFmtId="0" fontId="3" fillId="4" borderId="1" xfId="0" applyFont="1" applyFill="1" applyBorder="1" applyAlignment="1">
      <alignment horizontal="justify" vertical="top" wrapText="1"/>
    </xf>
    <xf numFmtId="164" fontId="2" fillId="4" borderId="1" xfId="0" applyNumberFormat="1" applyFont="1" applyFill="1" applyBorder="1" applyAlignment="1">
      <alignment horizontal="justify" vertical="top" wrapText="1"/>
    </xf>
    <xf numFmtId="2" fontId="2" fillId="4" borderId="1" xfId="0" applyNumberFormat="1" applyFont="1" applyFill="1" applyBorder="1" applyAlignment="1">
      <alignment vertical="top" wrapText="1"/>
    </xf>
    <xf numFmtId="0" fontId="2" fillId="4" borderId="1" xfId="0" applyFont="1" applyFill="1" applyBorder="1" applyAlignment="1">
      <alignment horizontal="center" vertical="top" wrapText="1"/>
    </xf>
    <xf numFmtId="165" fontId="13" fillId="0" borderId="1" xfId="0" applyNumberFormat="1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6" xfId="0" applyBorder="1"/>
    <xf numFmtId="0" fontId="17" fillId="0" borderId="0" xfId="0" applyFont="1"/>
    <xf numFmtId="4" fontId="17" fillId="0" borderId="0" xfId="0" applyNumberFormat="1" applyFont="1"/>
    <xf numFmtId="164" fontId="2" fillId="0" borderId="1" xfId="0" applyNumberFormat="1" applyFont="1" applyBorder="1" applyAlignment="1">
      <alignment horizontal="justify" vertical="top" wrapText="1"/>
    </xf>
    <xf numFmtId="2" fontId="2" fillId="0" borderId="1" xfId="0" applyNumberFormat="1" applyFont="1" applyBorder="1" applyAlignment="1">
      <alignment vertical="top" wrapText="1"/>
    </xf>
    <xf numFmtId="2" fontId="3" fillId="0" borderId="1" xfId="0" applyNumberFormat="1" applyFont="1" applyBorder="1" applyAlignment="1">
      <alignment horizontal="justify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justify" vertical="top" wrapText="1"/>
    </xf>
    <xf numFmtId="164" fontId="2" fillId="0" borderId="5" xfId="0" applyNumberFormat="1" applyFont="1" applyBorder="1" applyAlignment="1">
      <alignment horizontal="justify" vertical="top" wrapText="1"/>
    </xf>
    <xf numFmtId="2" fontId="2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18" fillId="0" borderId="0" xfId="0" applyFont="1"/>
    <xf numFmtId="0" fontId="1" fillId="0" borderId="0" xfId="0" applyFont="1"/>
    <xf numFmtId="164" fontId="3" fillId="3" borderId="13" xfId="0" applyNumberFormat="1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2" fontId="3" fillId="3" borderId="13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justify" vertical="top" wrapText="1"/>
    </xf>
    <xf numFmtId="164" fontId="3" fillId="3" borderId="1" xfId="0" applyNumberFormat="1" applyFont="1" applyFill="1" applyBorder="1" applyAlignment="1">
      <alignment horizontal="justify" vertical="top" wrapText="1"/>
    </xf>
    <xf numFmtId="4" fontId="3" fillId="3" borderId="1" xfId="0" applyNumberFormat="1" applyFont="1" applyFill="1" applyBorder="1" applyAlignment="1">
      <alignment horizontal="justify" vertical="top" wrapText="1"/>
    </xf>
    <xf numFmtId="2" fontId="3" fillId="3" borderId="1" xfId="0" applyNumberFormat="1" applyFont="1" applyFill="1" applyBorder="1" applyAlignment="1">
      <alignment horizontal="justify" vertical="top" wrapText="1"/>
    </xf>
    <xf numFmtId="2" fontId="3" fillId="3" borderId="1" xfId="0" applyNumberFormat="1" applyFont="1" applyFill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3" fontId="3" fillId="0" borderId="0" xfId="0" applyNumberFormat="1" applyFont="1"/>
    <xf numFmtId="0" fontId="3" fillId="0" borderId="0" xfId="0" applyFont="1"/>
    <xf numFmtId="0" fontId="20" fillId="0" borderId="0" xfId="0" applyFont="1"/>
    <xf numFmtId="1" fontId="3" fillId="0" borderId="1" xfId="0" applyNumberFormat="1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4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2" borderId="13" xfId="0" applyFont="1" applyFill="1" applyBorder="1" applyAlignment="1">
      <alignment vertical="center" wrapText="1"/>
    </xf>
    <xf numFmtId="0" fontId="3" fillId="0" borderId="5" xfId="0" applyFont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wrapText="1"/>
    </xf>
    <xf numFmtId="0" fontId="21" fillId="0" borderId="0" xfId="0" applyFont="1"/>
    <xf numFmtId="3" fontId="22" fillId="0" borderId="0" xfId="0" applyNumberFormat="1" applyFont="1" applyAlignment="1">
      <alignment wrapText="1"/>
    </xf>
    <xf numFmtId="164" fontId="3" fillId="0" borderId="6" xfId="0" applyNumberFormat="1" applyFont="1" applyBorder="1" applyAlignment="1">
      <alignment horizontal="center" vertical="center" wrapText="1"/>
    </xf>
    <xf numFmtId="2" fontId="23" fillId="0" borderId="0" xfId="0" applyNumberFormat="1" applyFont="1"/>
    <xf numFmtId="0" fontId="4" fillId="0" borderId="1" xfId="0" applyFont="1" applyBorder="1"/>
    <xf numFmtId="4" fontId="1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4" fontId="0" fillId="0" borderId="0" xfId="0" applyNumberFormat="1"/>
    <xf numFmtId="4" fontId="3" fillId="0" borderId="2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4" fillId="0" borderId="0" xfId="0" applyFont="1"/>
    <xf numFmtId="2" fontId="17" fillId="0" borderId="0" xfId="0" applyNumberFormat="1" applyFont="1"/>
    <xf numFmtId="0" fontId="3" fillId="0" borderId="6" xfId="0" applyFont="1" applyBorder="1" applyAlignment="1">
      <alignment wrapText="1"/>
    </xf>
    <xf numFmtId="4" fontId="3" fillId="0" borderId="2" xfId="0" applyNumberFormat="1" applyFont="1" applyBorder="1" applyAlignment="1">
      <alignment horizontal="justify" vertical="top" wrapText="1"/>
    </xf>
    <xf numFmtId="0" fontId="3" fillId="0" borderId="6" xfId="0" applyFont="1" applyBorder="1" applyAlignment="1">
      <alignment horizontal="justify" vertical="top" wrapText="1"/>
    </xf>
    <xf numFmtId="2" fontId="3" fillId="0" borderId="2" xfId="0" applyNumberFormat="1" applyFont="1" applyBorder="1" applyAlignment="1">
      <alignment horizontal="justify" vertical="top" wrapText="1"/>
    </xf>
    <xf numFmtId="0" fontId="3" fillId="3" borderId="1" xfId="0" applyFont="1" applyFill="1" applyBorder="1"/>
    <xf numFmtId="0" fontId="4" fillId="3" borderId="1" xfId="0" applyFont="1" applyFill="1" applyBorder="1"/>
    <xf numFmtId="2" fontId="3" fillId="3" borderId="1" xfId="0" applyNumberFormat="1" applyFont="1" applyFill="1" applyBorder="1" applyAlignment="1">
      <alignment horizontal="center"/>
    </xf>
    <xf numFmtId="4" fontId="3" fillId="4" borderId="6" xfId="0" applyNumberFormat="1" applyFont="1" applyFill="1" applyBorder="1" applyAlignment="1">
      <alignment horizontal="center" vertical="center" wrapText="1"/>
    </xf>
    <xf numFmtId="4" fontId="13" fillId="3" borderId="2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left" vertical="center" wrapText="1"/>
    </xf>
    <xf numFmtId="0" fontId="3" fillId="3" borderId="0" xfId="0" applyFont="1" applyFill="1"/>
    <xf numFmtId="3" fontId="3" fillId="3" borderId="0" xfId="0" applyNumberFormat="1" applyFont="1" applyFill="1"/>
    <xf numFmtId="0" fontId="2" fillId="3" borderId="5" xfId="0" applyFont="1" applyFill="1" applyBorder="1" applyAlignment="1">
      <alignment horizontal="justify" vertical="top" wrapText="1"/>
    </xf>
    <xf numFmtId="0" fontId="5" fillId="3" borderId="0" xfId="0" applyFont="1" applyFill="1" applyAlignment="1">
      <alignment horizontal="center" vertical="top" wrapText="1"/>
    </xf>
    <xf numFmtId="0" fontId="1" fillId="3" borderId="0" xfId="0" applyFont="1" applyFill="1"/>
    <xf numFmtId="0" fontId="18" fillId="3" borderId="0" xfId="0" applyFont="1" applyFill="1"/>
    <xf numFmtId="4" fontId="13" fillId="4" borderId="2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justify" vertical="top" wrapText="1"/>
    </xf>
    <xf numFmtId="164" fontId="3" fillId="4" borderId="3" xfId="0" applyNumberFormat="1" applyFont="1" applyFill="1" applyBorder="1" applyAlignment="1">
      <alignment horizontal="center" vertical="center" wrapText="1"/>
    </xf>
    <xf numFmtId="4" fontId="13" fillId="4" borderId="3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top" wrapText="1"/>
    </xf>
    <xf numFmtId="3" fontId="7" fillId="0" borderId="0" xfId="0" applyNumberFormat="1" applyFont="1" applyAlignment="1">
      <alignment wrapText="1"/>
    </xf>
    <xf numFmtId="0" fontId="10" fillId="0" borderId="0" xfId="0" applyFont="1" applyAlignment="1">
      <alignment horizontal="center"/>
    </xf>
    <xf numFmtId="3" fontId="7" fillId="0" borderId="0" xfId="0" applyNumberFormat="1" applyFont="1" applyAlignment="1">
      <alignment horizontal="center" wrapText="1"/>
    </xf>
    <xf numFmtId="0" fontId="3" fillId="0" borderId="2" xfId="0" applyFont="1" applyBorder="1" applyAlignment="1">
      <alignment horizontal="justify" vertical="center" wrapText="1"/>
    </xf>
    <xf numFmtId="164" fontId="3" fillId="3" borderId="1" xfId="0" applyNumberFormat="1" applyFont="1" applyFill="1" applyBorder="1" applyAlignment="1">
      <alignment horizontal="center" wrapText="1"/>
    </xf>
    <xf numFmtId="3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/>
    <xf numFmtId="0" fontId="12" fillId="0" borderId="0" xfId="0" applyFont="1"/>
    <xf numFmtId="0" fontId="26" fillId="0" borderId="0" xfId="0" applyFont="1"/>
    <xf numFmtId="2" fontId="20" fillId="0" borderId="0" xfId="0" applyNumberFormat="1" applyFont="1"/>
    <xf numFmtId="2" fontId="27" fillId="0" borderId="0" xfId="0" applyNumberFormat="1" applyFont="1"/>
    <xf numFmtId="0" fontId="3" fillId="0" borderId="3" xfId="0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25" fillId="0" borderId="0" xfId="0" applyFont="1" applyAlignment="1">
      <alignment wrapText="1"/>
    </xf>
    <xf numFmtId="0" fontId="3" fillId="3" borderId="2" xfId="0" applyFont="1" applyFill="1" applyBorder="1" applyAlignment="1">
      <alignment horizontal="justify" vertical="center" wrapText="1"/>
    </xf>
    <xf numFmtId="0" fontId="17" fillId="0" borderId="1" xfId="0" applyFont="1" applyBorder="1"/>
    <xf numFmtId="0" fontId="23" fillId="0" borderId="0" xfId="0" applyFont="1"/>
    <xf numFmtId="4" fontId="3" fillId="0" borderId="7" xfId="0" applyNumberFormat="1" applyFont="1" applyBorder="1" applyAlignment="1">
      <alignment horizontal="center" vertical="center" wrapText="1"/>
    </xf>
    <xf numFmtId="4" fontId="3" fillId="3" borderId="9" xfId="0" applyNumberFormat="1" applyFont="1" applyFill="1" applyBorder="1" applyAlignment="1">
      <alignment horizontal="center" vertical="center" wrapText="1"/>
    </xf>
    <xf numFmtId="4" fontId="3" fillId="3" borderId="13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top" wrapTex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10" fillId="0" borderId="0" xfId="0" applyFont="1" applyAlignment="1">
      <alignment vertical="center"/>
    </xf>
    <xf numFmtId="0" fontId="2" fillId="3" borderId="4" xfId="0" applyFont="1" applyFill="1" applyBorder="1" applyAlignment="1">
      <alignment horizontal="justify" vertical="top" wrapText="1"/>
    </xf>
    <xf numFmtId="4" fontId="3" fillId="3" borderId="3" xfId="0" applyNumberFormat="1" applyFont="1" applyFill="1" applyBorder="1" applyAlignment="1">
      <alignment horizontal="center" vertical="center" wrapText="1"/>
    </xf>
    <xf numFmtId="4" fontId="13" fillId="3" borderId="3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justify" vertical="center" wrapText="1"/>
    </xf>
    <xf numFmtId="4" fontId="3" fillId="6" borderId="1" xfId="0" applyNumberFormat="1" applyFont="1" applyFill="1" applyBorder="1" applyAlignment="1">
      <alignment horizontal="center" vertical="center" wrapText="1"/>
    </xf>
    <xf numFmtId="4" fontId="13" fillId="6" borderId="1" xfId="0" applyNumberFormat="1" applyFont="1" applyFill="1" applyBorder="1" applyAlignment="1">
      <alignment horizontal="center" vertical="center" wrapText="1"/>
    </xf>
    <xf numFmtId="4" fontId="3" fillId="6" borderId="6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8" fillId="0" borderId="0" xfId="0" applyNumberFormat="1" applyFont="1"/>
    <xf numFmtId="4" fontId="8" fillId="0" borderId="0" xfId="0" applyNumberFormat="1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0" fontId="8" fillId="0" borderId="0" xfId="0" applyFont="1" applyAlignment="1">
      <alignment horizontal="center" vertical="center"/>
    </xf>
    <xf numFmtId="2" fontId="8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29" fillId="0" borderId="0" xfId="0" applyFont="1"/>
    <xf numFmtId="4" fontId="29" fillId="0" borderId="0" xfId="0" applyNumberFormat="1" applyFont="1"/>
    <xf numFmtId="0" fontId="30" fillId="0" borderId="0" xfId="0" applyFont="1"/>
    <xf numFmtId="3" fontId="30" fillId="0" borderId="0" xfId="0" applyNumberFormat="1" applyFont="1"/>
    <xf numFmtId="3" fontId="30" fillId="0" borderId="0" xfId="0" applyNumberFormat="1" applyFont="1" applyAlignment="1">
      <alignment horizontal="center"/>
    </xf>
    <xf numFmtId="0" fontId="31" fillId="0" borderId="0" xfId="0" applyFont="1"/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left" vertical="top" wrapText="1"/>
    </xf>
    <xf numFmtId="4" fontId="30" fillId="0" borderId="1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left" vertical="top" wrapText="1"/>
    </xf>
    <xf numFmtId="2" fontId="3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top" wrapText="1"/>
    </xf>
    <xf numFmtId="0" fontId="30" fillId="0" borderId="1" xfId="0" applyFont="1" applyBorder="1" applyAlignment="1">
      <alignment horizontal="justify" vertical="top" wrapText="1"/>
    </xf>
    <xf numFmtId="4" fontId="31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 wrapText="1"/>
    </xf>
    <xf numFmtId="2" fontId="31" fillId="0" borderId="1" xfId="0" applyNumberFormat="1" applyFont="1" applyBorder="1" applyAlignment="1">
      <alignment horizontal="center" vertical="center" wrapText="1"/>
    </xf>
    <xf numFmtId="17" fontId="31" fillId="0" borderId="1" xfId="0" applyNumberFormat="1" applyFont="1" applyBorder="1" applyAlignment="1">
      <alignment horizontal="center" vertical="center" wrapText="1"/>
    </xf>
    <xf numFmtId="164" fontId="30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33" fillId="0" borderId="1" xfId="0" applyFont="1" applyBorder="1" applyAlignment="1">
      <alignment horizontal="center" vertical="center"/>
    </xf>
    <xf numFmtId="164" fontId="31" fillId="0" borderId="1" xfId="0" applyNumberFormat="1" applyFont="1" applyBorder="1" applyAlignment="1">
      <alignment horizontal="center" vertical="center" wrapText="1"/>
    </xf>
    <xf numFmtId="0" fontId="34" fillId="0" borderId="0" xfId="0" applyFont="1"/>
    <xf numFmtId="3" fontId="34" fillId="0" borderId="0" xfId="0" applyNumberFormat="1" applyFont="1"/>
    <xf numFmtId="0" fontId="34" fillId="0" borderId="0" xfId="0" applyFont="1" applyAlignment="1">
      <alignment horizontal="left" vertical="top" wrapText="1"/>
    </xf>
    <xf numFmtId="0" fontId="34" fillId="0" borderId="0" xfId="0" applyFont="1" applyAlignment="1">
      <alignment horizontal="left" vertical="center"/>
    </xf>
    <xf numFmtId="3" fontId="34" fillId="0" borderId="0" xfId="0" applyNumberFormat="1" applyFont="1" applyAlignment="1">
      <alignment horizontal="left" vertical="center"/>
    </xf>
    <xf numFmtId="49" fontId="28" fillId="0" borderId="1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4" fontId="30" fillId="0" borderId="0" xfId="0" applyNumberFormat="1" applyFont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4" fontId="3" fillId="2" borderId="2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top" wrapText="1"/>
    </xf>
    <xf numFmtId="2" fontId="3" fillId="2" borderId="6" xfId="0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3" fillId="4" borderId="2" xfId="0" applyNumberFormat="1" applyFont="1" applyFill="1" applyBorder="1" applyAlignment="1">
      <alignment horizontal="center" vertical="center" wrapText="1"/>
    </xf>
    <xf numFmtId="2" fontId="3" fillId="4" borderId="6" xfId="0" applyNumberFormat="1" applyFont="1" applyFill="1" applyBorder="1" applyAlignment="1">
      <alignment horizontal="center" vertical="center" wrapText="1"/>
    </xf>
    <xf numFmtId="4" fontId="3" fillId="4" borderId="2" xfId="0" applyNumberFormat="1" applyFont="1" applyFill="1" applyBorder="1" applyAlignment="1">
      <alignment horizontal="center" vertical="center" wrapText="1"/>
    </xf>
    <xf numFmtId="4" fontId="3" fillId="4" borderId="6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top" wrapText="1"/>
    </xf>
    <xf numFmtId="0" fontId="3" fillId="4" borderId="9" xfId="0" applyFont="1" applyFill="1" applyBorder="1" applyAlignment="1">
      <alignment horizontal="center" vertical="top" wrapText="1"/>
    </xf>
    <xf numFmtId="2" fontId="3" fillId="4" borderId="8" xfId="0" applyNumberFormat="1" applyFont="1" applyFill="1" applyBorder="1" applyAlignment="1">
      <alignment horizontal="center" vertical="center" wrapText="1"/>
    </xf>
    <xf numFmtId="2" fontId="3" fillId="4" borderId="9" xfId="0" applyNumberFormat="1" applyFont="1" applyFill="1" applyBorder="1" applyAlignment="1">
      <alignment horizontal="center" vertical="center" wrapText="1"/>
    </xf>
    <xf numFmtId="4" fontId="3" fillId="4" borderId="8" xfId="0" applyNumberFormat="1" applyFont="1" applyFill="1" applyBorder="1" applyAlignment="1">
      <alignment horizontal="center" vertical="center" wrapText="1"/>
    </xf>
    <xf numFmtId="4" fontId="3" fillId="4" borderId="9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top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left" wrapText="1"/>
    </xf>
    <xf numFmtId="2" fontId="13" fillId="0" borderId="2" xfId="0" applyNumberFormat="1" applyFont="1" applyBorder="1" applyAlignment="1">
      <alignment horizontal="center" vertical="center" wrapText="1"/>
    </xf>
    <xf numFmtId="2" fontId="13" fillId="0" borderId="6" xfId="0" applyNumberFormat="1" applyFont="1" applyBorder="1" applyAlignment="1">
      <alignment horizontal="center" vertical="center" wrapText="1"/>
    </xf>
    <xf numFmtId="4" fontId="3" fillId="5" borderId="2" xfId="0" applyNumberFormat="1" applyFont="1" applyFill="1" applyBorder="1" applyAlignment="1">
      <alignment horizontal="center" vertical="center" wrapText="1"/>
    </xf>
    <xf numFmtId="4" fontId="3" fillId="5" borderId="6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164" fontId="3" fillId="2" borderId="4" xfId="0" applyNumberFormat="1" applyFont="1" applyFill="1" applyBorder="1" applyAlignment="1">
      <alignment horizontal="center" vertical="center" wrapText="1"/>
    </xf>
    <xf numFmtId="164" fontId="3" fillId="2" borderId="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justify" vertical="top" wrapText="1"/>
    </xf>
    <xf numFmtId="0" fontId="2" fillId="3" borderId="2" xfId="0" applyFont="1" applyFill="1" applyBorder="1" applyAlignment="1">
      <alignment horizontal="justify" vertical="top" wrapText="1"/>
    </xf>
    <xf numFmtId="0" fontId="2" fillId="3" borderId="6" xfId="0" applyFont="1" applyFill="1" applyBorder="1" applyAlignment="1">
      <alignment horizontal="justify" vertical="top" wrapText="1"/>
    </xf>
    <xf numFmtId="2" fontId="2" fillId="3" borderId="2" xfId="0" applyNumberFormat="1" applyFont="1" applyFill="1" applyBorder="1" applyAlignment="1">
      <alignment horizontal="justify" vertical="top" wrapText="1"/>
    </xf>
    <xf numFmtId="3" fontId="19" fillId="0" borderId="0" xfId="0" applyNumberFormat="1" applyFont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center" vertical="top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2" fontId="3" fillId="3" borderId="8" xfId="0" applyNumberFormat="1" applyFont="1" applyFill="1" applyBorder="1" applyAlignment="1">
      <alignment horizontal="center" vertical="center" wrapText="1"/>
    </xf>
    <xf numFmtId="2" fontId="3" fillId="3" borderId="9" xfId="0" applyNumberFormat="1" applyFont="1" applyFill="1" applyBorder="1" applyAlignment="1">
      <alignment horizontal="center" vertical="center" wrapText="1"/>
    </xf>
    <xf numFmtId="4" fontId="3" fillId="3" borderId="8" xfId="0" applyNumberFormat="1" applyFont="1" applyFill="1" applyBorder="1" applyAlignment="1">
      <alignment horizontal="center" vertical="center" wrapText="1"/>
    </xf>
    <xf numFmtId="4" fontId="3" fillId="3" borderId="9" xfId="0" applyNumberFormat="1" applyFont="1" applyFill="1" applyBorder="1" applyAlignment="1">
      <alignment horizontal="center" vertical="center" wrapText="1"/>
    </xf>
    <xf numFmtId="164" fontId="3" fillId="4" borderId="4" xfId="0" applyNumberFormat="1" applyFont="1" applyFill="1" applyBorder="1" applyAlignment="1">
      <alignment horizontal="center" vertical="center" wrapText="1"/>
    </xf>
    <xf numFmtId="164" fontId="3" fillId="4" borderId="7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2" fontId="3" fillId="4" borderId="4" xfId="0" applyNumberFormat="1" applyFont="1" applyFill="1" applyBorder="1" applyAlignment="1">
      <alignment horizontal="center" vertical="center" wrapText="1"/>
    </xf>
    <xf numFmtId="2" fontId="3" fillId="4" borderId="7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justify" vertical="top" wrapText="1"/>
    </xf>
    <xf numFmtId="0" fontId="2" fillId="0" borderId="6" xfId="0" applyFont="1" applyBorder="1" applyAlignment="1">
      <alignment horizontal="justify" vertical="top" wrapText="1"/>
    </xf>
    <xf numFmtId="2" fontId="2" fillId="0" borderId="2" xfId="0" applyNumberFormat="1" applyFont="1" applyBorder="1" applyAlignment="1">
      <alignment horizontal="justify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top" wrapText="1"/>
    </xf>
    <xf numFmtId="2" fontId="3" fillId="3" borderId="6" xfId="0" applyNumberFormat="1" applyFont="1" applyFill="1" applyBorder="1" applyAlignment="1">
      <alignment horizontal="center" vertical="top" wrapText="1"/>
    </xf>
    <xf numFmtId="2" fontId="3" fillId="0" borderId="5" xfId="0" applyNumberFormat="1" applyFont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4" fontId="3" fillId="0" borderId="1" xfId="0" applyNumberFormat="1" applyFont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top" wrapText="1"/>
    </xf>
    <xf numFmtId="4" fontId="3" fillId="3" borderId="6" xfId="0" applyNumberFormat="1" applyFont="1" applyFill="1" applyBorder="1" applyAlignment="1">
      <alignment horizontal="center" vertical="top" wrapText="1"/>
    </xf>
    <xf numFmtId="4" fontId="3" fillId="6" borderId="2" xfId="0" applyNumberFormat="1" applyFont="1" applyFill="1" applyBorder="1" applyAlignment="1">
      <alignment horizontal="center" vertical="center" wrapText="1"/>
    </xf>
    <xf numFmtId="4" fontId="3" fillId="6" borderId="6" xfId="0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4" fontId="3" fillId="3" borderId="7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26" fillId="0" borderId="4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6\&#1054;&#1058;&#1063;&#1045;&#1058;&#1067;\&#1044;&#1083;&#1103;%20&#1056;&#1040;&#1049;&#1060;&#1054;%20%20&#1080;&#1085;&#1092;&#1086;&#1088;&#1084;&#1072;&#1094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Январь"/>
      <sheetName val="Февраль"/>
      <sheetName val="Март"/>
      <sheetName val="май"/>
      <sheetName val="Июнь"/>
      <sheetName val="Июль"/>
      <sheetName val="Август 2016"/>
      <sheetName val="Сентябрь 2016"/>
      <sheetName val="Октябрь 2016"/>
      <sheetName val="Подрядный способ"/>
      <sheetName val="Хоз. спос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J4">
            <v>1973.1799999999998</v>
          </cell>
        </row>
        <row r="5">
          <cell r="J5">
            <v>2028.02</v>
          </cell>
        </row>
        <row r="6">
          <cell r="J6">
            <v>2327.06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K65"/>
  <sheetViews>
    <sheetView topLeftCell="A25" zoomScale="69" zoomScaleNormal="69" zoomScalePageLayoutView="60" workbookViewId="0">
      <selection activeCell="S33" sqref="S33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1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11.28515625" customWidth="1"/>
    <col min="19" max="19" width="25.28515625" customWidth="1"/>
    <col min="20" max="20" width="9.140625" customWidth="1"/>
    <col min="21" max="21" width="20.7109375" customWidth="1"/>
    <col min="22" max="22" width="24.28515625" customWidth="1"/>
  </cols>
  <sheetData>
    <row r="1" spans="1:16365" ht="18.75" x14ac:dyDescent="0.3">
      <c r="A1" s="2"/>
      <c r="B1" s="2" t="s">
        <v>0</v>
      </c>
      <c r="C1" s="2"/>
      <c r="D1" s="2"/>
      <c r="E1" s="2"/>
      <c r="F1" s="2" t="s">
        <v>0</v>
      </c>
      <c r="G1" s="2"/>
      <c r="H1" s="2"/>
      <c r="I1" s="2"/>
      <c r="J1" s="2"/>
      <c r="K1" s="2"/>
      <c r="L1" s="2"/>
      <c r="M1" s="2"/>
      <c r="N1" s="1"/>
      <c r="O1" s="1" t="s">
        <v>33</v>
      </c>
      <c r="P1" s="2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1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1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1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1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1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1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1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1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1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1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1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1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1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1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1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1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1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1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1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1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1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1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1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1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1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1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1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1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1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1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1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1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1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1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1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1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1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1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1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1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1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1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1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1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1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1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1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1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1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1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1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1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1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1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1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1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1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1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1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1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1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1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1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1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1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1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1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1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1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1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1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1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1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1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1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1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1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1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1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1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1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1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1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1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1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1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1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1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1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1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1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1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1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1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1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1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1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1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1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1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1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1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1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1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1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1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1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1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1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1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1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1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1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1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1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1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1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1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1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1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1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1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1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1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1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1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1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1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1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1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1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1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1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1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1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1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1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1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1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1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1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1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1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1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1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1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1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1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1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1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1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1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1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1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1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1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1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1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1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1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1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1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1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1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1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1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1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1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1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1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1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1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1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1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1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1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1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1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1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1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1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1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1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1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1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1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1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1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1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1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1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1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1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1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1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1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1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1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1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1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1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1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1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1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1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1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1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1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1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1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1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1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1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1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1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1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1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1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1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1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1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1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1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1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1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1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1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1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1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1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1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1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1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1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1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1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1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1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1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1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1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1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1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1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1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1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1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1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1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1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1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1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1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1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1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1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1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1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1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1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1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1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1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1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1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1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1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1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1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1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1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1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1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1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1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1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1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1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1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1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1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1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1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1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1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1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1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1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1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1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1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1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1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1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1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1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1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1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1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1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1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1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1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1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1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1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1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1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1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1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1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1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1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1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1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1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1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1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1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1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1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1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1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1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1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1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1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1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1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1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1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1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1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1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1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1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1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1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1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1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1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1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1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1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1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1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1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1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1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1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1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1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1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1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1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1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1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1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1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1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1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1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1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1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1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1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1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1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1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1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1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1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1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1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1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1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1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1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1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1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1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1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1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1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1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1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1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1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1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1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1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1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1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1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1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1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1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1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1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1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1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1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1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1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1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1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1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1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1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1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1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1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1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1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1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1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1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1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1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1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1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1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1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1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1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1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1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1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1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1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1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1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1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1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1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1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1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1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1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1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1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1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1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1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1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1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1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1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1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1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1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1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1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1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1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1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1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1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1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1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1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1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1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1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1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1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1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1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1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1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1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1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1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1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1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1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1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1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1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1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1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1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1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1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1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1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1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1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1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1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1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1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1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1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1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1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1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1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1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1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1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1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1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1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1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1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1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1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1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1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1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1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1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1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1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1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1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1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1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1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1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1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1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1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1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1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1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1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1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1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1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1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1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1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1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1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1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1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1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1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1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1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1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1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1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1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1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1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1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1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1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1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1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1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1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1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1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1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1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1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1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1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1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1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1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1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1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1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1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1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1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1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1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1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1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1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1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1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1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1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1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1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1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1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1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1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1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1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1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1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1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1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1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1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1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1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1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1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1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1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1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1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1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1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1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1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1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1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1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1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1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1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1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1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1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1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1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1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1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1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1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1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1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1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1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1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1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1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1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1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1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1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1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1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1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1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1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1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1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1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1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1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1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1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1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1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1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1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1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1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1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1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1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1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1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1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1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1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1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1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1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1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1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1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1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1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1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1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1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1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1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1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1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1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1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1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1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1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1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1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1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1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1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1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1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1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1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1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1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1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1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1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1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1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1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1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1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1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1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1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1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1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1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1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1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1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1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1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1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1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1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1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1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1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1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1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1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1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1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1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1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1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1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1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1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1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1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1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1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1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1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1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1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1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1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1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1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1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1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1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1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1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1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1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1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1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1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1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1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1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1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1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1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1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1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1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1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1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1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1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1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1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1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1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1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1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1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1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1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1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1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1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1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1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1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1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1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1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1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1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1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1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1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1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1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1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1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1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1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1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1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1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1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1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1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1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1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1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1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1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1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1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1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1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1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1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1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1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1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1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1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1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1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1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1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1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1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1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1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1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1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1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1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1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1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1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1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1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1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1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1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1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1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1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1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1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1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1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1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1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1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1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1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1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1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1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1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1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1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1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1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1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1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1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1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1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1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1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1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1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1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1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1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1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1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1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1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1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1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1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1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1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1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1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1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1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1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1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1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1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1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1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1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1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1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1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1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1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1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1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1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1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1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1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1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1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1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1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1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1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1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1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1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1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1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1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1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1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1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1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1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1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1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1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1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1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1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1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1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1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1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1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1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1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1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1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1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1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1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1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1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1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1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1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1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1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1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1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1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1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1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1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1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1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1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1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1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1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1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1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1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1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1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1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1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1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1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1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1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1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1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1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1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1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1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1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1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1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1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1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1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1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1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1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1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1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1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1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1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1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1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1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1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1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1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1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1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1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1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1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1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1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1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1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1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1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1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1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1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1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1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1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1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1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1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1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1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1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1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1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1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1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1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1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1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1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1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1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1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1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</row>
    <row r="2" spans="1:16365" ht="18.75" x14ac:dyDescent="0.3">
      <c r="A2" s="2"/>
      <c r="B2" s="2" t="s">
        <v>42</v>
      </c>
      <c r="C2" s="2"/>
      <c r="D2" s="2"/>
      <c r="E2" s="2"/>
      <c r="F2" s="2" t="s">
        <v>1</v>
      </c>
      <c r="G2" s="2"/>
      <c r="H2" s="2"/>
      <c r="I2" s="2"/>
      <c r="J2" s="2"/>
      <c r="K2" s="2"/>
      <c r="L2" s="2"/>
      <c r="M2" s="2"/>
      <c r="N2" s="2"/>
      <c r="O2" s="1"/>
      <c r="P2" s="1" t="s">
        <v>34</v>
      </c>
      <c r="Q2" s="2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1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1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1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1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1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1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1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1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1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1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1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1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1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1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1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1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1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1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1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1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1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1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1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1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1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1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1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1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1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1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1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1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1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1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1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1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1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1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1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1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1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1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1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1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1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1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1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1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1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1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1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1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1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1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1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1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1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1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1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1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1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1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1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1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1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1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1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1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1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1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1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1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1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1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1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1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1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1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1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1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1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1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1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1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1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1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1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1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1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1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1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1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1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1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1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1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1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1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1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1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1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1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1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1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1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1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1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1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1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1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1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1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1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1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1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1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1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1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1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1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1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1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1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1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1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1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1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1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1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1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1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1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1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1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1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1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1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1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1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1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1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1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1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1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1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1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1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1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1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1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1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1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1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1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1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1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1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1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1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1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1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1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1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1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1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1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1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1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1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1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1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1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1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1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1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1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1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1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1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1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1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1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1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1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1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1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1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1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1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1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1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1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1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1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1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1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1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1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1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1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1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1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1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1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1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1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1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1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1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1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1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1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1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1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1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1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1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1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1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1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1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1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1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1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1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1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1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1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1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1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1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1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1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1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1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1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1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1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1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1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1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1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1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1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1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1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1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1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1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1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1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1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1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1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1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1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1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1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1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1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1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1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1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1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1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1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1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1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1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1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1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1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1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1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1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1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1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1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1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1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1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1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1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1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1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1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1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1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1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1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1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1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1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1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1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1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1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1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1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1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1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1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1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1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1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1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1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1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1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1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1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1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1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1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1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1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1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1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1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1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1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1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1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1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1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1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1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1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1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1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1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1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1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1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1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1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1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1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1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1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1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1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1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1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1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1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1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1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1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1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1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1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1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1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1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1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1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1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1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1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1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1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1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1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1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1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1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1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1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1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1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1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1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1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1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1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1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1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1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1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1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1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1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1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1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1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1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1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1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1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1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1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1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1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1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1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1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1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1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1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1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1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1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1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1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1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1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1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1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1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1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1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1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1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1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1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1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1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1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1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1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1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1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1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1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1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1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1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1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1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1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1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1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1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1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1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1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1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1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1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1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1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1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1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1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1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1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1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1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1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1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1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1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1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1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1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1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1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1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1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1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1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1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1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1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1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1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1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1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1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1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1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1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1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1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1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1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1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1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1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1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1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1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1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1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1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1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1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1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1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1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1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1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1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1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1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1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1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1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1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1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1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1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1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1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1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1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1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1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1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1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1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1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1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1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1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1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1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1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1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1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1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1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1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1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1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1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1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1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1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1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1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1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1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1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1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1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1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1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1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1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1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1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1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1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1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1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1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1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1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1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1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1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1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1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1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1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1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1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1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1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1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1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1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1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1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1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1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1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1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1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1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1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1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1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1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1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1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1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1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1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1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1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1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1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1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1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1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1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1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1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1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1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1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1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1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1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1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1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1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1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1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1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1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1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1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1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1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1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1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1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1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1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1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1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1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1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1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1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1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1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1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1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1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1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1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1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1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1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1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1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1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1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1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1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1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1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1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1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1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1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1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1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1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1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1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1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1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1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1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1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1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1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1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1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1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1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1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1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1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1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1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1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1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1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1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1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1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1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1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1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1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1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1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1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1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1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1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1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1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1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1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1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1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1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1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1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1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1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1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1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1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1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1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1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1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1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1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1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1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1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1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1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1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1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1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1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1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1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1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1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1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1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1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1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1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1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1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1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1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1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1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1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1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1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1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1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1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1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1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1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1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1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1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1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1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1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1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1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1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1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1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1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1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1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1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1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1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1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1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1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1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1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1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1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1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1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1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1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1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1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1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1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1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1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1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1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1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1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1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1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1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1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1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1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1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1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1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1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1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1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1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1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1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1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1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1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1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1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1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1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1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1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1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1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1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1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1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1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1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1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1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1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1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1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1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1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1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1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1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1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1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1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1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1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1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1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1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1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1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1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1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1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1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1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1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1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1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1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1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1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1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1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1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1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1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1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1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1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1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1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1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1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1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1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1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1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1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1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1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1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1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1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1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1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1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1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1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1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1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1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1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1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1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1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1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1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1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1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1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1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1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1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1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1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1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1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1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1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1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1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1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1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1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1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1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1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1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1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1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1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1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1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1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1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1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1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1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1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1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1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1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1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1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1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1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1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1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1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1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1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1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1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1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1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1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1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1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1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1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1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1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1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1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1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1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1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1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1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1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1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1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1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1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1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1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1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1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1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1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1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1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1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1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1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1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1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1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1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1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1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1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1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1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1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1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1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1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1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1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1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1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1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1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1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1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1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1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1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1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1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1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1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1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1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1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1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1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1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1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1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1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1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1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1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1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1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1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1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1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1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1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1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1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1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1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1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1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1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1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1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1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1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1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1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1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1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1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1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1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1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1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1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1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1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1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1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1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1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</row>
    <row r="3" spans="1:16365" ht="18.75" x14ac:dyDescent="0.3">
      <c r="A3" s="2"/>
      <c r="B3" s="2" t="s">
        <v>5</v>
      </c>
      <c r="C3" s="2"/>
      <c r="D3" s="2"/>
      <c r="E3" s="2"/>
      <c r="F3" s="2" t="s">
        <v>2</v>
      </c>
      <c r="G3" s="2"/>
      <c r="H3" s="2"/>
      <c r="I3" s="2"/>
      <c r="J3" s="2"/>
      <c r="K3" s="2"/>
      <c r="L3" s="2"/>
      <c r="M3" s="2"/>
      <c r="N3" s="2"/>
      <c r="O3" s="1"/>
      <c r="P3" s="1"/>
      <c r="Q3" s="2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1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1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1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1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1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1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1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1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1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1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1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1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1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1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1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1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1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1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1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1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1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1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1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1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1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1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1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1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1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1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1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1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1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1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1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1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1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1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1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1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1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1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1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1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1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1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1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1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1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1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1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1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1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1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1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1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1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1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1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1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1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1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1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1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1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1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1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1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1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1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1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1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1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1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1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1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1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1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1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1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1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1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1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1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1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1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1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1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1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1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1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1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1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1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1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1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1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1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1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1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1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1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1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1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1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1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1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1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1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1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1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1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1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1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1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1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1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1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1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1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1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1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1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1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1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1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1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1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1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1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1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1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1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1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1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1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1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1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1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1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1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1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1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1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1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1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1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1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1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1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1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1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1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1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1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1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1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1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1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1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1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1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1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1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1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1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1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1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1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1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1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1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1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1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1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1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1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1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1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1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1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1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1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1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1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1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1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1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1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1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1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1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1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1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1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1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1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1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1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1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1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1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1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1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1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1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1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1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1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1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1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1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1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1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1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1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1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1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1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1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1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1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1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1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1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1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1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1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1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1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1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1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1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1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1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1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1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1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1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1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1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1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1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1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1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1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1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1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1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1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1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1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1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1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1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1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1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1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1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1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1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1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1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1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1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1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1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1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1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1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1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1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1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1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1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1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1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1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1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1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1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1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1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1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1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1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1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1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1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1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1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1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1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1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1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1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1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1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1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1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1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1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1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1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1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1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1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1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1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1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1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1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1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1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1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1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1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1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1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1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1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1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1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1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1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1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1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1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1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1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1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1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1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1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1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1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1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1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1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1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1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1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1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1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1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1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1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1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1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1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1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1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1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1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1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1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1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1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1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1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1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1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1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1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1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1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1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1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1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1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1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1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1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1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1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1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1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1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1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1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1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1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1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1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1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1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1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1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1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1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1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1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1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1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1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1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1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1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1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1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1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1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1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1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1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1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1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1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1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1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1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1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1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1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1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1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1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1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1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1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1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1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1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1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1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1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1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1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1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1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1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1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1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1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1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1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1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1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1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1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1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1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1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1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1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1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1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1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1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1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1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1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1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1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1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1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1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1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1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1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1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1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1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1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1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1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1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1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1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1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1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1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1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1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1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1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1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1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1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1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1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1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1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1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1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1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1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1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1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1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1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1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1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1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1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1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1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1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1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1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1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1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1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1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1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1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1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1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1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1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1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1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1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1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1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1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1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1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1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1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1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1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1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1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1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1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1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1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1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1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1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1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1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1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1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1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1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1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1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1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1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1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1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1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1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1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1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1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1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1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1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1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1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1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1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1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1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1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1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1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1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1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1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1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1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1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1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1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1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1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1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1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1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1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1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1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1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1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1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1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1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1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1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1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1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1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1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1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1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1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1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1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1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1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1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1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1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1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1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1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1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1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1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1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1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1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1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1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1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1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1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1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1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1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1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1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1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1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1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1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1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1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1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1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1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1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1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1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1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1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1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1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1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1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1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1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1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1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1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1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1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1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1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1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1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1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1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1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1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1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1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1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1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1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1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1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1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1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1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1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1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1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1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1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1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1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1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1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1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1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1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1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1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1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1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1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1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1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1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1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1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1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1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1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1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1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1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1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1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1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1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1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1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1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1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1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1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1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1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1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1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1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1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1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1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1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1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1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1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1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1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1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1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1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1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1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1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1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1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1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1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1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1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1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1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1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1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1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1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1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1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1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1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1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1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1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1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1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1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1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1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1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1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1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1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1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1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1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1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1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1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1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1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1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1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1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1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1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1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1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1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1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1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1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1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1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1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1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1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1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1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1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1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1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1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1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1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1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1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1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1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1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1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1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1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1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1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1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1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1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1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1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1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1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1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1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1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1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1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1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1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1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1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1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1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1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1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1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1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1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1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1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1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1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1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1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1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1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1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1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1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1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1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1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1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1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1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1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1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1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1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1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1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1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1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1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1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1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1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1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1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1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1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1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1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1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1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1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1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1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1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1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1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1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1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1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1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1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1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1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1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1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1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1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1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1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1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1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1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1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1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1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1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1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1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1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1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1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1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1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1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1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1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1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1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1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1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1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1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1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1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1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1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1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1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1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1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1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1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1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1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1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1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1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1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1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1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1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1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1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1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1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1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1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1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1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1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1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1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1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1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1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1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1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1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1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1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1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1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1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1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1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1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1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1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1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1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1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1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1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1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1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1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1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1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1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1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1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1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1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1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1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1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1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1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1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1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1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1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1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1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1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1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1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1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1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1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1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1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1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1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1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1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1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1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1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1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1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1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1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1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1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1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1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1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1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1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1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1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1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1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1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1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1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1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1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1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1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1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1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1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1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1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1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1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1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1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1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1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1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1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1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1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1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1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1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1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1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1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1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</row>
    <row r="4" spans="1:16365" ht="18.75" x14ac:dyDescent="0.3">
      <c r="A4" s="2"/>
      <c r="B4" s="2" t="s">
        <v>43</v>
      </c>
      <c r="C4" s="2"/>
      <c r="D4" s="2"/>
      <c r="E4" s="2"/>
      <c r="F4" s="2" t="s">
        <v>6</v>
      </c>
      <c r="G4" s="2"/>
      <c r="H4" s="2"/>
      <c r="I4" s="2"/>
      <c r="J4" s="2"/>
      <c r="K4" s="2"/>
      <c r="L4" s="2"/>
      <c r="M4" s="2"/>
      <c r="N4" s="2"/>
      <c r="O4" s="1"/>
      <c r="P4" s="1" t="s">
        <v>62</v>
      </c>
      <c r="Q4" s="2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1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1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1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1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1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1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1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1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1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1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1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1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1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1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1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1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1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1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1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1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1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1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1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1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1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1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1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1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1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1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1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1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1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1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1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1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1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1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1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1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1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1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1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1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1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1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1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1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1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1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1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1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1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1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1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1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1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1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1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1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1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1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1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1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1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1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1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1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1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1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1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1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1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1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1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1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1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1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1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1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1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1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1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1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1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1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1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1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1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1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1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1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1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1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1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1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1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1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1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1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1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1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1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1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1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1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1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1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1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1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1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1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1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1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1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1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1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1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1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1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1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1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1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1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1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1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1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1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1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1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1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1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1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1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1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1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1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1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1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1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1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1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1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1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1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1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1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1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1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1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1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1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1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1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1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1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1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1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1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1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1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1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1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1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1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1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1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1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1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1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1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1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1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1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1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1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1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1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1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1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1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1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1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1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1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1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1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1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1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1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1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1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1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1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1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1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1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1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1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1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1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1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1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1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1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1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1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1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1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1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1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1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1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1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1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1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1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1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1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1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1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1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1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1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1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1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1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1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1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1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1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1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1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1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1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1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1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1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1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1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1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1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1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1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1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1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1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1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1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1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1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1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1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1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1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1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1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1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1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1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1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1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1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1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1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1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1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1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1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1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1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1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1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1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1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1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1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1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1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1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1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1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1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1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1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1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1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1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1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1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1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1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1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1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1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1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1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1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1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1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1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1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1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1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1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1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1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1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1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1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1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1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1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1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1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1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1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1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1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1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1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1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1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1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1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1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1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1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1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1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1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1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1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1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1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1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1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1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1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1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1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1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1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1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1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1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1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1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1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1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1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1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1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1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1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1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1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1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1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1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1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1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1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1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1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1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1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1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1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1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1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1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1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1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1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1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1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1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1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1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1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1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1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1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1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1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1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1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1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1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1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1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1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1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1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1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1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1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1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1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1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1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1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1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1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1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1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1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1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1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1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1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1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1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1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1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1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1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1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1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1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1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1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1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1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1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1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1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1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1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1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1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1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1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1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1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1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1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1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1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1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1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1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1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1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1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1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1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1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1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1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1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1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1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1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1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1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1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1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1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1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1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1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1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1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1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1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1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1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1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1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1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1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1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1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1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1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1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1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1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1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1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1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1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1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1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1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1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1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1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1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1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1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1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1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1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1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1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1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1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1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1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1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1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1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1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1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1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1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1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1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1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1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1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1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1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1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1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1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1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1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1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1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1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1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1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1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1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1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1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1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1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1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1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1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1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1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1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1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1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1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1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1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1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1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1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1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1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1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1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1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1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1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1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1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1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1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1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1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1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1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1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1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1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1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1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1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1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1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1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1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1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1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1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1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1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1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1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1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1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1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1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1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1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1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1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1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1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1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1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1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1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1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1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1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1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1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1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1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1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1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1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1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1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1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1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1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1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1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1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1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1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1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1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1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1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1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1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1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1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1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1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1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1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1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1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1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1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1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1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1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1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1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1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1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1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1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1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1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1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1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1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1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1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1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1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1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1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1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1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1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1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1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1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1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1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1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1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1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1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1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1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1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1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1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1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1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1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1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1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1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1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1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1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1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1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1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1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1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1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1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1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1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1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1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1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1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1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1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1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1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1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1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1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1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1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1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1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1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1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1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1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1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1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1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1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1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1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1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1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1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1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1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1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1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1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1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1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1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1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1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1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1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1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1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1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1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1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1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1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1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1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1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1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1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1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1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1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1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1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1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1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1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1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1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1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1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1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1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1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1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1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1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1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1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1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1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1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1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1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1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1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1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1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1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1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1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1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1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1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1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1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1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1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1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1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1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1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1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1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1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1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1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1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1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1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1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1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1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1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1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1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1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1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1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1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1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1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1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1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1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1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1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1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1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1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1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1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1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1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1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1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1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1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1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1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1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1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1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1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1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1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1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1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1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1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1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1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1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1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1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1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1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1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1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1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1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1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1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1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1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1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1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1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1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1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1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1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1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1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1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1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1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1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1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1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1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1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1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1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1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1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1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1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1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1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1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1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1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1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1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1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1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1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1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1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1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1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1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1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1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1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1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1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1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1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1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1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1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1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1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1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1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1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1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1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1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1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1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1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1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1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1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1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1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1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1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1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1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1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1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1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1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1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1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1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1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1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1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1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1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1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1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1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1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1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1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1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1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1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1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1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1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1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1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1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1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1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1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1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1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1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1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1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1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1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1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1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1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1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1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1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1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1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1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1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1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1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1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1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1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1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1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1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1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1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1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1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1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1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1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1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1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1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1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1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1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1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1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1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1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1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1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1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1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1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1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1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1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1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1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1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1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1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1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1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1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1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1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1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1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1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1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1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1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1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1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1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1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1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1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1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1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1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1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1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1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1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1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1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1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</row>
    <row r="5" spans="1:16365" ht="18.75" x14ac:dyDescent="0.3">
      <c r="A5" s="2"/>
      <c r="B5" s="2" t="s">
        <v>60</v>
      </c>
      <c r="C5" s="2"/>
      <c r="D5" s="2"/>
      <c r="E5" s="2"/>
      <c r="F5" s="2" t="s">
        <v>61</v>
      </c>
      <c r="G5" s="2"/>
      <c r="H5" s="2"/>
      <c r="I5" s="2"/>
      <c r="J5" s="2"/>
      <c r="K5" s="2"/>
      <c r="L5" s="2"/>
      <c r="M5" s="2"/>
      <c r="N5" s="2"/>
      <c r="O5" s="1"/>
      <c r="P5" s="2" t="s">
        <v>35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1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1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1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1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1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1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1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1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1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1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1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1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1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1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1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1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1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1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1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1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1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1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1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1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1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1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1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1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1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1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1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1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1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1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1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1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1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1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1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1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1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1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1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1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1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1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1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1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1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1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1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1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1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1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1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1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1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1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1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1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1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1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1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1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1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1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1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1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1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1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1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1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1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1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1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1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1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1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1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1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1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1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1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1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1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1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1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1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1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1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1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1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1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1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1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1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1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1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1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1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1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1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1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1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1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1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1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1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1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1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1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1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1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1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1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1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1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1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1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1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1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1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1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1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1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1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1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1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1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1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1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1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1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1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1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1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1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1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1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1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1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1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1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1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1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1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1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1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1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1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1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1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1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1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1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1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1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1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1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1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1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1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1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1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1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1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1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1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1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1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1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1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1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1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1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1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1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1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1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1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1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1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1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1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1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1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1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1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1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1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1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1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1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1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1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1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1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1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1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1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1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1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1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1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1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1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1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1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1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1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1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1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1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1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1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1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1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1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1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1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1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1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1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1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1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1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1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1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1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1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1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1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1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1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1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1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1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1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1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1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1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1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1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1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1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1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1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1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1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1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1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1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1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1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1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1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1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1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1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1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1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1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1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1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1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1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1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1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1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1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1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1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1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1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1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1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1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1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1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1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1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1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1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1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1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1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1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1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1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1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1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1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1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1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1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1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1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1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1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1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1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1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1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1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1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1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1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1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1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1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1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1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1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1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1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1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1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1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1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1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1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1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1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1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1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1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1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1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1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1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1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1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1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1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1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1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1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1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1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1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1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1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1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1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1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1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1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1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1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1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1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1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1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1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1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1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1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1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1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1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1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1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1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1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1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1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1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1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1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1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1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1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1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1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1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1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1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1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1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1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1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1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1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1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1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1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1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1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1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1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1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1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1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1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1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1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1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1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1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1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1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1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1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1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1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1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1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1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1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1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1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1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1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1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1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1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1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1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1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1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1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1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1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1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1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1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1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1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1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1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1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1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1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1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1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1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1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1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1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1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1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1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1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1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1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1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1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1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1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1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1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1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1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1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1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1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1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1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1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1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1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1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1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1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1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1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1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1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1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1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1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1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1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1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1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1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1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1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1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1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1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1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1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1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1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1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1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1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1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1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1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1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1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1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1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1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1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1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1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1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1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1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1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1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1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1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1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1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1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1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1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1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1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1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1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1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1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1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1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1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1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1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1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1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1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1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1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1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1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1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1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1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1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1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1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1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1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1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1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1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1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1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1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1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1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1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1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1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1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1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1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1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1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1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1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1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1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1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1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1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1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1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1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1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1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1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1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1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1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1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1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1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1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1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1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1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1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1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1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1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1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1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1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1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1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1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1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1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1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1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1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1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1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1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1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1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1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1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1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1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1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1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1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1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1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1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1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1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1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1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1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1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1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1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1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1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1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1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1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1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1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1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1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1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1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1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1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1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1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1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1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1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1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1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1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1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1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1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1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1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1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1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1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1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1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1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1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1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1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1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1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1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1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1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1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1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1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1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1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1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1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1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1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1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1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1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1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1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1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1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1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1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1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1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1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1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1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1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1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1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1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1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1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1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1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1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1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1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1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1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1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1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1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1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1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1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1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1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1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1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1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1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1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1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1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1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1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1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1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1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1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1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1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1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1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1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1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1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1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1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1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1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1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1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1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1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1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1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1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1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1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1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1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1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1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1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1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1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1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1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1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1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1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1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1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1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1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1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1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1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1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1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1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1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1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1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1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1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1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1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1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1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1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1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1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1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1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1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1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1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1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1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1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1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1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1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1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1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1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1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1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1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1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1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1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1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1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1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1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1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1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1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1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1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1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1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1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1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1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1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1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1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1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1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1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1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1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1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1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1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1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1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1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1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1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1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1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1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1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1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1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1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1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1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1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1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1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1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1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1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1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1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1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1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1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1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1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1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1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1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1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1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1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1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1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1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1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1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1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1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1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1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1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1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1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1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1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1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1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1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1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1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1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1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1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1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1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1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1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1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1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1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1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1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1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1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1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1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1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1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1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1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1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1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1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1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1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1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1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1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1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1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1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1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1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1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1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1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1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1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1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1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1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1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1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1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1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1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1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1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1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1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1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1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1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1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1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1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1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1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1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1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1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1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1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1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1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1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1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1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1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1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1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1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1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1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1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1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1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1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1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1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1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1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1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1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1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1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1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1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1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1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1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1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1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1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1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1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1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1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1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1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1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1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1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1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1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1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1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1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1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1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1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1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1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1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1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1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1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1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1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1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1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1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1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1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1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1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1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1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1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1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1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1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1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1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1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1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1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1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1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1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1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1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1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1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1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1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1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1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1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1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1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1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1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1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1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1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1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1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1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</row>
    <row r="7" spans="1:16365" ht="18.75" customHeight="1" x14ac:dyDescent="0.3">
      <c r="A7" s="10"/>
      <c r="C7" s="397" t="s">
        <v>59</v>
      </c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</row>
    <row r="8" spans="1:16365" ht="11.25" customHeight="1" x14ac:dyDescent="0.2">
      <c r="A8" s="10"/>
    </row>
    <row r="9" spans="1:16365" ht="43.5" customHeight="1" x14ac:dyDescent="0.2">
      <c r="A9" s="392" t="s">
        <v>4</v>
      </c>
      <c r="B9" s="386" t="s">
        <v>14</v>
      </c>
      <c r="C9" s="392" t="s">
        <v>15</v>
      </c>
      <c r="D9" s="386" t="s">
        <v>16</v>
      </c>
      <c r="E9" s="387"/>
      <c r="F9" s="386" t="s">
        <v>17</v>
      </c>
      <c r="G9" s="395"/>
      <c r="H9" s="387"/>
      <c r="I9" s="385" t="s">
        <v>18</v>
      </c>
      <c r="J9" s="383"/>
      <c r="K9" s="383"/>
      <c r="L9" s="384"/>
      <c r="M9" s="386" t="s">
        <v>65</v>
      </c>
      <c r="N9" s="387"/>
      <c r="O9" s="385" t="s">
        <v>68</v>
      </c>
      <c r="P9" s="383"/>
      <c r="Q9" s="383"/>
      <c r="R9" s="383"/>
      <c r="S9" s="384"/>
    </row>
    <row r="10" spans="1:16365" ht="18.75" customHeight="1" x14ac:dyDescent="0.2">
      <c r="A10" s="393"/>
      <c r="B10" s="388"/>
      <c r="C10" s="393"/>
      <c r="D10" s="388"/>
      <c r="E10" s="389"/>
      <c r="F10" s="390"/>
      <c r="G10" s="396"/>
      <c r="H10" s="391"/>
      <c r="I10" s="385" t="s">
        <v>77</v>
      </c>
      <c r="J10" s="383"/>
      <c r="K10" s="383"/>
      <c r="L10" s="384"/>
      <c r="M10" s="388"/>
      <c r="N10" s="389"/>
      <c r="O10" s="380" t="s">
        <v>19</v>
      </c>
      <c r="P10" s="383"/>
      <c r="Q10" s="383"/>
      <c r="R10" s="383"/>
      <c r="S10" s="384"/>
    </row>
    <row r="11" spans="1:16365" ht="18.75" customHeight="1" x14ac:dyDescent="0.2">
      <c r="A11" s="393"/>
      <c r="B11" s="388"/>
      <c r="C11" s="393"/>
      <c r="D11" s="388"/>
      <c r="E11" s="389"/>
      <c r="F11" s="11" t="s">
        <v>20</v>
      </c>
      <c r="G11" s="385" t="s">
        <v>21</v>
      </c>
      <c r="H11" s="384"/>
      <c r="I11" s="386" t="s">
        <v>22</v>
      </c>
      <c r="J11" s="387"/>
      <c r="K11" s="11"/>
      <c r="L11" s="392" t="s">
        <v>23</v>
      </c>
      <c r="M11" s="388"/>
      <c r="N11" s="389"/>
      <c r="O11" s="381"/>
      <c r="P11" s="387" t="s">
        <v>66</v>
      </c>
      <c r="Q11" s="386" t="s">
        <v>67</v>
      </c>
      <c r="R11" s="395"/>
      <c r="S11" s="387"/>
    </row>
    <row r="12" spans="1:16365" ht="18.75" customHeight="1" x14ac:dyDescent="0.2">
      <c r="A12" s="393"/>
      <c r="B12" s="388"/>
      <c r="C12" s="393"/>
      <c r="D12" s="388"/>
      <c r="E12" s="389"/>
      <c r="F12" s="11" t="s">
        <v>69</v>
      </c>
      <c r="G12" s="385" t="s">
        <v>69</v>
      </c>
      <c r="H12" s="384"/>
      <c r="I12" s="388"/>
      <c r="J12" s="389"/>
      <c r="K12" s="11"/>
      <c r="L12" s="393"/>
      <c r="M12" s="388"/>
      <c r="N12" s="389"/>
      <c r="O12" s="381"/>
      <c r="P12" s="389"/>
      <c r="Q12" s="390"/>
      <c r="R12" s="396"/>
      <c r="S12" s="391"/>
    </row>
    <row r="13" spans="1:16365" ht="95.25" customHeight="1" x14ac:dyDescent="0.2">
      <c r="A13" s="394"/>
      <c r="B13" s="390"/>
      <c r="C13" s="394"/>
      <c r="D13" s="390"/>
      <c r="E13" s="391"/>
      <c r="F13" s="11" t="s">
        <v>63</v>
      </c>
      <c r="G13" s="385" t="s">
        <v>64</v>
      </c>
      <c r="H13" s="384"/>
      <c r="I13" s="390"/>
      <c r="J13" s="391"/>
      <c r="K13" s="11"/>
      <c r="L13" s="394"/>
      <c r="M13" s="390"/>
      <c r="N13" s="391"/>
      <c r="O13" s="382"/>
      <c r="P13" s="391"/>
      <c r="Q13" s="385" t="s">
        <v>24</v>
      </c>
      <c r="R13" s="384"/>
      <c r="S13" s="11" t="s">
        <v>25</v>
      </c>
    </row>
    <row r="14" spans="1:16365" ht="18.75" x14ac:dyDescent="0.2">
      <c r="A14" s="12">
        <v>1</v>
      </c>
      <c r="B14" s="71">
        <v>2</v>
      </c>
      <c r="C14" s="12">
        <v>3</v>
      </c>
      <c r="D14" s="378">
        <v>4</v>
      </c>
      <c r="E14" s="379"/>
      <c r="F14" s="12">
        <v>5</v>
      </c>
      <c r="G14" s="378">
        <v>6</v>
      </c>
      <c r="H14" s="379"/>
      <c r="I14" s="378">
        <v>7</v>
      </c>
      <c r="J14" s="379"/>
      <c r="K14" s="12"/>
      <c r="L14" s="12">
        <v>8</v>
      </c>
      <c r="M14" s="378">
        <v>9</v>
      </c>
      <c r="N14" s="379"/>
      <c r="O14" s="13">
        <v>10</v>
      </c>
      <c r="P14" s="72">
        <v>11</v>
      </c>
      <c r="Q14" s="378">
        <v>12</v>
      </c>
      <c r="R14" s="379"/>
      <c r="S14" s="12">
        <v>13</v>
      </c>
    </row>
    <row r="15" spans="1:16365" ht="36" customHeight="1" x14ac:dyDescent="0.2">
      <c r="A15" s="352" t="s">
        <v>26</v>
      </c>
      <c r="B15" s="353"/>
      <c r="C15" s="353"/>
      <c r="D15" s="353"/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3"/>
      <c r="Q15" s="353"/>
      <c r="R15" s="353"/>
      <c r="S15" s="354"/>
    </row>
    <row r="16" spans="1:16365" ht="65.25" customHeight="1" x14ac:dyDescent="0.3">
      <c r="A16" s="14">
        <v>1</v>
      </c>
      <c r="B16" s="15" t="s">
        <v>48</v>
      </c>
      <c r="C16" s="16">
        <v>567</v>
      </c>
      <c r="D16" s="374">
        <v>567</v>
      </c>
      <c r="E16" s="375"/>
      <c r="F16" s="73" t="s">
        <v>76</v>
      </c>
      <c r="G16" s="73"/>
      <c r="H16" s="73" t="s">
        <v>75</v>
      </c>
      <c r="I16" s="355">
        <f>75245.2</f>
        <v>75245.2</v>
      </c>
      <c r="J16" s="356"/>
      <c r="K16" s="87">
        <v>0.9</v>
      </c>
      <c r="L16" s="40">
        <v>75245.2</v>
      </c>
      <c r="M16" s="330">
        <v>64742.8</v>
      </c>
      <c r="N16" s="331"/>
      <c r="O16" s="40">
        <f>Q16+S16</f>
        <v>10502.399999999994</v>
      </c>
      <c r="P16" s="100">
        <f>0</f>
        <v>0</v>
      </c>
      <c r="Q16" s="343">
        <f>0</f>
        <v>0</v>
      </c>
      <c r="R16" s="344"/>
      <c r="S16" s="3">
        <f>L16-M16</f>
        <v>10502.399999999994</v>
      </c>
    </row>
    <row r="17" spans="1:28" ht="66.75" customHeight="1" x14ac:dyDescent="0.2">
      <c r="A17" s="14">
        <v>2</v>
      </c>
      <c r="B17" s="20" t="s">
        <v>44</v>
      </c>
      <c r="C17" s="16">
        <v>377</v>
      </c>
      <c r="D17" s="374">
        <v>377</v>
      </c>
      <c r="E17" s="375"/>
      <c r="F17" s="73" t="s">
        <v>76</v>
      </c>
      <c r="G17" s="340" t="s">
        <v>11</v>
      </c>
      <c r="H17" s="334"/>
      <c r="I17" s="355">
        <v>106395</v>
      </c>
      <c r="J17" s="356"/>
      <c r="K17" s="88">
        <v>0.9</v>
      </c>
      <c r="L17" s="50">
        <v>90679.51</v>
      </c>
      <c r="M17" s="376">
        <v>3484.21</v>
      </c>
      <c r="N17" s="377"/>
      <c r="O17" s="40">
        <f>Q17+S17</f>
        <v>90679.510000000009</v>
      </c>
      <c r="P17" s="100">
        <f>0</f>
        <v>0</v>
      </c>
      <c r="Q17" s="355">
        <f>69901.38</f>
        <v>69901.38</v>
      </c>
      <c r="R17" s="356"/>
      <c r="S17" s="3">
        <f>20778.13</f>
        <v>20778.13</v>
      </c>
      <c r="U17" s="406"/>
      <c r="V17" s="406"/>
      <c r="W17" s="67"/>
      <c r="X17" s="372"/>
      <c r="Y17" s="372"/>
      <c r="Z17" s="70"/>
      <c r="AA17" s="373"/>
      <c r="AB17" s="373"/>
    </row>
    <row r="18" spans="1:28" ht="63.75" hidden="1" customHeight="1" x14ac:dyDescent="0.2">
      <c r="A18" s="14">
        <v>3</v>
      </c>
      <c r="B18" s="74"/>
      <c r="C18" s="16"/>
      <c r="D18" s="374"/>
      <c r="E18" s="375"/>
      <c r="F18" s="73"/>
      <c r="G18" s="340" t="s">
        <v>8</v>
      </c>
      <c r="H18" s="334"/>
      <c r="I18" s="355"/>
      <c r="J18" s="356"/>
      <c r="K18" s="88"/>
      <c r="L18" s="131"/>
      <c r="M18" s="398"/>
      <c r="N18" s="399"/>
      <c r="O18" s="131"/>
      <c r="P18" s="89"/>
      <c r="Q18" s="355"/>
      <c r="R18" s="356"/>
      <c r="S18" s="88"/>
    </row>
    <row r="19" spans="1:28" ht="62.25" hidden="1" customHeight="1" x14ac:dyDescent="0.2">
      <c r="A19" s="14">
        <v>4</v>
      </c>
      <c r="B19" s="74"/>
      <c r="C19" s="16"/>
      <c r="D19" s="341"/>
      <c r="E19" s="342"/>
      <c r="F19" s="73"/>
      <c r="G19" s="340" t="s">
        <v>12</v>
      </c>
      <c r="H19" s="334"/>
      <c r="I19" s="355"/>
      <c r="J19" s="356"/>
      <c r="K19" s="88"/>
      <c r="L19" s="131"/>
      <c r="M19" s="398"/>
      <c r="N19" s="399"/>
      <c r="O19" s="131"/>
      <c r="P19" s="89"/>
      <c r="Q19" s="355"/>
      <c r="R19" s="356"/>
      <c r="S19" s="88"/>
      <c r="AA19" s="17" t="s">
        <v>3</v>
      </c>
    </row>
    <row r="20" spans="1:28" ht="69.75" hidden="1" customHeight="1" x14ac:dyDescent="0.2">
      <c r="A20" s="14">
        <v>5</v>
      </c>
      <c r="B20" s="75"/>
      <c r="C20" s="16"/>
      <c r="D20" s="341"/>
      <c r="E20" s="342"/>
      <c r="F20" s="73"/>
      <c r="G20" s="340" t="s">
        <v>7</v>
      </c>
      <c r="H20" s="334"/>
      <c r="I20" s="355"/>
      <c r="J20" s="356"/>
      <c r="K20" s="88"/>
      <c r="L20" s="131"/>
      <c r="M20" s="398"/>
      <c r="N20" s="399"/>
      <c r="O20" s="131"/>
      <c r="P20" s="89"/>
      <c r="Q20" s="400"/>
      <c r="R20" s="401"/>
      <c r="S20" s="90"/>
    </row>
    <row r="21" spans="1:28" ht="51.75" customHeight="1" x14ac:dyDescent="0.2">
      <c r="A21" s="14">
        <v>3</v>
      </c>
      <c r="B21" s="15" t="s">
        <v>30</v>
      </c>
      <c r="C21" s="16">
        <v>502</v>
      </c>
      <c r="D21" s="374">
        <v>502</v>
      </c>
      <c r="E21" s="375"/>
      <c r="F21" s="73" t="s">
        <v>76</v>
      </c>
      <c r="G21" s="340" t="s">
        <v>75</v>
      </c>
      <c r="H21" s="334"/>
      <c r="I21" s="330">
        <v>110501.12</v>
      </c>
      <c r="J21" s="331"/>
      <c r="K21" s="88">
        <v>0.9</v>
      </c>
      <c r="L21" s="50">
        <v>99451</v>
      </c>
      <c r="M21" s="343">
        <f>5555.65+15059.6</f>
        <v>20615.25</v>
      </c>
      <c r="N21" s="344"/>
      <c r="O21" s="40">
        <f>Q21+S21</f>
        <v>93895.35</v>
      </c>
      <c r="P21" s="100">
        <f>0</f>
        <v>0</v>
      </c>
      <c r="Q21" s="355">
        <f>61000</f>
        <v>61000</v>
      </c>
      <c r="R21" s="356"/>
      <c r="S21" s="3">
        <f>38451-5555.65</f>
        <v>32895.35</v>
      </c>
    </row>
    <row r="22" spans="1:28" ht="70.5" customHeight="1" x14ac:dyDescent="0.2">
      <c r="A22" s="14">
        <v>4</v>
      </c>
      <c r="B22" s="20" t="s">
        <v>37</v>
      </c>
      <c r="C22" s="16">
        <v>1064</v>
      </c>
      <c r="D22" s="374">
        <v>1064</v>
      </c>
      <c r="E22" s="375"/>
      <c r="F22" s="73" t="s">
        <v>76</v>
      </c>
      <c r="G22" s="340" t="s">
        <v>12</v>
      </c>
      <c r="H22" s="334"/>
      <c r="I22" s="355">
        <v>114278</v>
      </c>
      <c r="J22" s="356"/>
      <c r="K22" s="88">
        <v>0.9</v>
      </c>
      <c r="L22" s="50">
        <f>I22*K22</f>
        <v>102850.2</v>
      </c>
      <c r="M22" s="343">
        <v>19541</v>
      </c>
      <c r="N22" s="344"/>
      <c r="O22" s="50">
        <f>Q22+S22</f>
        <v>83309.179999999993</v>
      </c>
      <c r="P22" s="100">
        <f>0</f>
        <v>0</v>
      </c>
      <c r="Q22" s="355">
        <f>60000-4701.13</f>
        <v>55298.87</v>
      </c>
      <c r="R22" s="356"/>
      <c r="S22" s="3">
        <f>(3000+39850.2)-14839.89</f>
        <v>28010.309999999998</v>
      </c>
    </row>
    <row r="23" spans="1:28" ht="55.5" customHeight="1" x14ac:dyDescent="0.2">
      <c r="A23" s="76">
        <v>5</v>
      </c>
      <c r="B23" s="51" t="s">
        <v>38</v>
      </c>
      <c r="C23" s="77">
        <v>1329</v>
      </c>
      <c r="D23" s="357">
        <v>1329</v>
      </c>
      <c r="E23" s="358"/>
      <c r="F23" s="73" t="s">
        <v>76</v>
      </c>
      <c r="G23" s="359" t="s">
        <v>11</v>
      </c>
      <c r="H23" s="360"/>
      <c r="I23" s="355">
        <v>167041.60000000001</v>
      </c>
      <c r="J23" s="356"/>
      <c r="K23" s="93">
        <v>0.9</v>
      </c>
      <c r="L23" s="132">
        <f>I23*K23</f>
        <v>150337.44</v>
      </c>
      <c r="M23" s="361">
        <f>46.05+7000+143.54+167.29+125+7500</f>
        <v>14981.880000000001</v>
      </c>
      <c r="N23" s="362"/>
      <c r="O23" s="132">
        <f>Q23+S23</f>
        <v>142855.56</v>
      </c>
      <c r="P23" s="52">
        <v>0</v>
      </c>
      <c r="Q23" s="363">
        <f>87000</f>
        <v>87000</v>
      </c>
      <c r="R23" s="364"/>
      <c r="S23" s="118">
        <f>(60829.5+2507.94)-7481.88</f>
        <v>55855.560000000005</v>
      </c>
    </row>
    <row r="24" spans="1:28" s="83" customFormat="1" ht="55.5" customHeight="1" x14ac:dyDescent="0.3">
      <c r="A24" s="14">
        <v>6</v>
      </c>
      <c r="B24" s="15" t="s">
        <v>56</v>
      </c>
      <c r="C24" s="16">
        <v>549</v>
      </c>
      <c r="D24" s="61"/>
      <c r="E24" s="16">
        <f>C24</f>
        <v>549</v>
      </c>
      <c r="F24" s="73" t="s">
        <v>76</v>
      </c>
      <c r="G24" s="73"/>
      <c r="H24" s="73" t="s">
        <v>11</v>
      </c>
      <c r="I24" s="330">
        <v>104103</v>
      </c>
      <c r="J24" s="331"/>
      <c r="K24" s="95">
        <v>0.9</v>
      </c>
      <c r="L24" s="40">
        <v>93692.7</v>
      </c>
      <c r="M24" s="355">
        <f>40350.59+14910.2</f>
        <v>55260.789999999994</v>
      </c>
      <c r="N24" s="356"/>
      <c r="O24" s="40">
        <f>P24+Q24+S24</f>
        <v>23521.710000000003</v>
      </c>
      <c r="P24" s="100">
        <f>0</f>
        <v>0</v>
      </c>
      <c r="Q24" s="343">
        <f>0</f>
        <v>0</v>
      </c>
      <c r="R24" s="344"/>
      <c r="S24" s="3">
        <f>L24-M24-14910.2</f>
        <v>23521.710000000003</v>
      </c>
    </row>
    <row r="25" spans="1:28" ht="55.5" customHeight="1" x14ac:dyDescent="0.3">
      <c r="A25" s="105"/>
      <c r="B25" s="55" t="s">
        <v>10</v>
      </c>
      <c r="C25" s="16">
        <v>1717</v>
      </c>
      <c r="D25" s="61"/>
      <c r="E25" s="16">
        <f>C25</f>
        <v>1717</v>
      </c>
      <c r="F25" s="73" t="s">
        <v>11</v>
      </c>
      <c r="G25" s="73"/>
      <c r="H25" s="73" t="s">
        <v>7</v>
      </c>
      <c r="I25" s="68">
        <v>126000</v>
      </c>
      <c r="J25" s="69">
        <f>SUM(I25)</f>
        <v>126000</v>
      </c>
      <c r="K25" s="95">
        <v>0.9</v>
      </c>
      <c r="L25" s="40">
        <f>I25*K25</f>
        <v>113400</v>
      </c>
      <c r="M25" s="85"/>
      <c r="N25" s="97">
        <v>0</v>
      </c>
      <c r="O25" s="40">
        <f>Q25+S25</f>
        <v>126000</v>
      </c>
      <c r="P25" s="100">
        <f>0</f>
        <v>0</v>
      </c>
      <c r="Q25" s="343">
        <v>37800</v>
      </c>
      <c r="R25" s="344"/>
      <c r="S25" s="3">
        <v>88200</v>
      </c>
      <c r="T25" s="402">
        <v>75600</v>
      </c>
      <c r="U25" s="403"/>
    </row>
    <row r="26" spans="1:28" ht="55.5" customHeight="1" x14ac:dyDescent="0.3">
      <c r="A26" s="14"/>
      <c r="B26" s="55" t="s">
        <v>79</v>
      </c>
      <c r="C26" s="16">
        <v>711.8</v>
      </c>
      <c r="D26" s="61"/>
      <c r="E26" s="16">
        <f>C26</f>
        <v>711.8</v>
      </c>
      <c r="F26" s="73" t="s">
        <v>12</v>
      </c>
      <c r="G26" s="73" t="s">
        <v>9</v>
      </c>
      <c r="H26" s="73" t="s">
        <v>9</v>
      </c>
      <c r="I26" s="68">
        <v>110000</v>
      </c>
      <c r="J26" s="69">
        <f>SUM(I26)</f>
        <v>110000</v>
      </c>
      <c r="K26" s="60">
        <v>0.9</v>
      </c>
      <c r="L26" s="40">
        <f>I26*K26</f>
        <v>99000</v>
      </c>
      <c r="M26" s="85"/>
      <c r="N26" s="97">
        <v>0</v>
      </c>
      <c r="O26" s="3">
        <f>Q26+S26</f>
        <v>110000</v>
      </c>
      <c r="P26" s="100">
        <f>0</f>
        <v>0</v>
      </c>
      <c r="Q26" s="343">
        <v>30000</v>
      </c>
      <c r="R26" s="344"/>
      <c r="S26" s="3">
        <v>80000</v>
      </c>
    </row>
    <row r="27" spans="1:28" ht="55.5" customHeight="1" x14ac:dyDescent="0.3">
      <c r="A27" s="14"/>
      <c r="B27" s="56" t="s">
        <v>82</v>
      </c>
      <c r="C27" s="16">
        <v>610</v>
      </c>
      <c r="D27" s="61"/>
      <c r="E27" s="16">
        <f>C27</f>
        <v>610</v>
      </c>
      <c r="F27" s="73" t="s">
        <v>12</v>
      </c>
      <c r="G27" s="73" t="s">
        <v>9</v>
      </c>
      <c r="H27" s="73" t="s">
        <v>9</v>
      </c>
      <c r="I27" s="68">
        <v>110000</v>
      </c>
      <c r="J27" s="69">
        <f>SUM(I27)</f>
        <v>110000</v>
      </c>
      <c r="K27" s="60">
        <v>0.9</v>
      </c>
      <c r="L27" s="40">
        <f>I27*K27</f>
        <v>99000</v>
      </c>
      <c r="M27" s="85"/>
      <c r="N27" s="97">
        <v>0</v>
      </c>
      <c r="O27" s="3">
        <f>Q27+S27</f>
        <v>110000</v>
      </c>
      <c r="P27" s="100">
        <f>0</f>
        <v>0</v>
      </c>
      <c r="Q27" s="343">
        <v>30000</v>
      </c>
      <c r="R27" s="344"/>
      <c r="S27" s="3">
        <v>80000</v>
      </c>
    </row>
    <row r="28" spans="1:28" ht="53.25" customHeight="1" x14ac:dyDescent="0.3">
      <c r="A28" s="14"/>
      <c r="B28" s="55" t="s">
        <v>58</v>
      </c>
      <c r="C28" s="16">
        <v>601</v>
      </c>
      <c r="D28" s="61"/>
      <c r="E28" s="16">
        <f>C28</f>
        <v>601</v>
      </c>
      <c r="F28" s="73" t="s">
        <v>7</v>
      </c>
      <c r="G28" s="73"/>
      <c r="H28" s="73" t="s">
        <v>47</v>
      </c>
      <c r="I28" s="68">
        <v>105000</v>
      </c>
      <c r="J28" s="69">
        <f>SUM(I28)</f>
        <v>105000</v>
      </c>
      <c r="K28" s="60">
        <v>0.9</v>
      </c>
      <c r="L28" s="40">
        <f>I28*K28</f>
        <v>94500</v>
      </c>
      <c r="M28" s="85"/>
      <c r="N28" s="97">
        <v>0</v>
      </c>
      <c r="O28" s="3">
        <f>Q28+S28</f>
        <v>105000</v>
      </c>
      <c r="P28" s="100">
        <f>0</f>
        <v>0</v>
      </c>
      <c r="Q28" s="343">
        <v>29000</v>
      </c>
      <c r="R28" s="344"/>
      <c r="S28" s="3">
        <v>76000</v>
      </c>
    </row>
    <row r="29" spans="1:28" ht="2.25" hidden="1" customHeight="1" x14ac:dyDescent="0.3">
      <c r="A29" s="14"/>
      <c r="B29" s="15"/>
      <c r="C29" s="16"/>
      <c r="D29" s="16">
        <f>SUM(D16:D28)</f>
        <v>3839</v>
      </c>
      <c r="E29" s="16"/>
      <c r="F29" s="84"/>
      <c r="G29" s="84"/>
      <c r="H29" s="84"/>
      <c r="I29" s="91"/>
      <c r="J29" s="92"/>
      <c r="K29" s="95"/>
      <c r="L29" s="96"/>
      <c r="M29" s="85"/>
      <c r="N29" s="86"/>
      <c r="O29" s="88"/>
      <c r="P29" s="89"/>
      <c r="Q29" s="99"/>
      <c r="R29" s="100"/>
      <c r="S29" s="88"/>
    </row>
    <row r="30" spans="1:28" ht="24.75" hidden="1" customHeight="1" x14ac:dyDescent="0.3">
      <c r="A30" s="14"/>
      <c r="B30" s="15"/>
      <c r="C30" s="16"/>
      <c r="D30" s="61"/>
      <c r="E30" s="16"/>
      <c r="F30" s="84"/>
      <c r="G30" s="84"/>
      <c r="H30" s="84"/>
      <c r="I30" s="91"/>
      <c r="J30" s="92"/>
      <c r="K30" s="95"/>
      <c r="L30" s="96"/>
      <c r="M30" s="85"/>
      <c r="N30" s="86"/>
      <c r="O30" s="88"/>
      <c r="P30" s="89"/>
      <c r="Q30" s="99"/>
      <c r="R30" s="100"/>
      <c r="S30" s="88"/>
    </row>
    <row r="31" spans="1:28" ht="38.25" hidden="1" customHeight="1" x14ac:dyDescent="0.3">
      <c r="A31" s="14"/>
      <c r="B31" s="15"/>
      <c r="C31" s="16"/>
      <c r="D31" s="61"/>
      <c r="E31" s="16"/>
      <c r="F31" s="84"/>
      <c r="G31" s="84"/>
      <c r="H31" s="84"/>
      <c r="I31" s="91"/>
      <c r="J31" s="92"/>
      <c r="K31" s="95"/>
      <c r="L31" s="96"/>
      <c r="M31" s="85"/>
      <c r="N31" s="86"/>
      <c r="O31" s="88"/>
      <c r="P31" s="89"/>
      <c r="Q31" s="99"/>
      <c r="R31" s="100"/>
      <c r="S31" s="88"/>
    </row>
    <row r="32" spans="1:28" ht="38.25" hidden="1" customHeight="1" x14ac:dyDescent="0.2">
      <c r="A32" s="14"/>
      <c r="B32" s="14"/>
      <c r="C32" s="16"/>
      <c r="D32" s="16"/>
      <c r="E32" s="16"/>
      <c r="F32" s="73"/>
      <c r="G32" s="73"/>
      <c r="H32" s="73"/>
      <c r="I32" s="3"/>
      <c r="J32" s="3"/>
      <c r="K32" s="3"/>
      <c r="L32" s="62"/>
      <c r="M32" s="62"/>
      <c r="N32" s="62"/>
      <c r="O32" s="62"/>
      <c r="P32" s="62"/>
      <c r="Q32" s="355"/>
      <c r="R32" s="356"/>
      <c r="S32" s="3"/>
    </row>
    <row r="33" spans="1:25" ht="42" customHeight="1" x14ac:dyDescent="0.3">
      <c r="A33" s="365" t="s">
        <v>31</v>
      </c>
      <c r="B33" s="366"/>
      <c r="C33" s="78">
        <f>SUM(C16:C32)</f>
        <v>8027.8</v>
      </c>
      <c r="D33" s="78">
        <f>SUM(D16:D32)</f>
        <v>7678</v>
      </c>
      <c r="E33" s="78">
        <f>SUM(D16:E28)</f>
        <v>8027.8</v>
      </c>
      <c r="F33" s="79"/>
      <c r="G33" s="79"/>
      <c r="H33" s="79"/>
      <c r="I33" s="349">
        <f>SUM(I16:I32)</f>
        <v>1128563.92</v>
      </c>
      <c r="J33" s="350"/>
      <c r="K33" s="80"/>
      <c r="L33" s="81">
        <f>SUM(L16:L32)</f>
        <v>1018156.0499999999</v>
      </c>
      <c r="M33" s="367">
        <f>SUM(M16:M32)</f>
        <v>178625.93</v>
      </c>
      <c r="N33" s="368"/>
      <c r="O33" s="81">
        <f>SUM(O16:O32)</f>
        <v>895763.71</v>
      </c>
      <c r="P33" s="81">
        <v>0</v>
      </c>
      <c r="Q33" s="369">
        <f>SUM(Q16:Q32)</f>
        <v>400000.25</v>
      </c>
      <c r="R33" s="370"/>
      <c r="S33" s="82">
        <f>SUM(S16:S32)</f>
        <v>495763.45999999996</v>
      </c>
      <c r="T33" s="134">
        <v>388051.8</v>
      </c>
      <c r="U33" s="53">
        <v>267229.56</v>
      </c>
    </row>
    <row r="34" spans="1:25" ht="51.75" hidden="1" customHeight="1" x14ac:dyDescent="0.2">
      <c r="A34" s="4"/>
      <c r="B34" s="6" t="s">
        <v>46</v>
      </c>
      <c r="C34" s="407"/>
      <c r="D34" s="408"/>
      <c r="E34" s="5"/>
      <c r="F34" s="407"/>
      <c r="G34" s="408"/>
      <c r="H34" s="4"/>
      <c r="I34" s="407"/>
      <c r="J34" s="408"/>
      <c r="K34" s="4"/>
      <c r="L34" s="407"/>
      <c r="M34" s="408"/>
      <c r="N34" s="4"/>
      <c r="O34" s="9"/>
      <c r="P34" s="7"/>
      <c r="Q34" s="409"/>
      <c r="R34" s="408"/>
      <c r="S34" s="22">
        <v>155000</v>
      </c>
    </row>
    <row r="35" spans="1:25" ht="26.25" hidden="1" customHeight="1" x14ac:dyDescent="0.2">
      <c r="A35" s="28"/>
      <c r="B35" s="123" t="s">
        <v>84</v>
      </c>
      <c r="C35" s="28"/>
      <c r="D35" s="28"/>
      <c r="E35" s="124"/>
      <c r="F35" s="28"/>
      <c r="G35" s="28"/>
      <c r="H35" s="28"/>
      <c r="I35" s="28"/>
      <c r="J35" s="28"/>
      <c r="K35" s="28"/>
      <c r="L35" s="28"/>
      <c r="M35" s="28"/>
      <c r="N35" s="28"/>
      <c r="O35" s="125"/>
      <c r="P35" s="126"/>
      <c r="Q35" s="371">
        <v>127</v>
      </c>
      <c r="R35" s="371"/>
      <c r="S35" s="26">
        <v>258297.66</v>
      </c>
    </row>
    <row r="36" spans="1:25" ht="41.25" customHeight="1" x14ac:dyDescent="0.2">
      <c r="A36" s="337" t="s">
        <v>27</v>
      </c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9"/>
    </row>
    <row r="37" spans="1:25" s="101" customFormat="1" ht="80.25" customHeight="1" x14ac:dyDescent="0.3">
      <c r="A37" s="14">
        <v>2</v>
      </c>
      <c r="B37" s="15" t="s">
        <v>52</v>
      </c>
      <c r="C37" s="341">
        <v>581</v>
      </c>
      <c r="D37" s="342"/>
      <c r="E37" s="16" t="s">
        <v>39</v>
      </c>
      <c r="F37" s="340" t="s">
        <v>11</v>
      </c>
      <c r="G37" s="334"/>
      <c r="H37" s="73" t="s">
        <v>47</v>
      </c>
      <c r="I37" s="341"/>
      <c r="J37" s="342"/>
      <c r="K37" s="98"/>
      <c r="L37" s="341"/>
      <c r="M37" s="342"/>
      <c r="N37" s="62">
        <v>0</v>
      </c>
      <c r="O37" s="62">
        <f>S37</f>
        <v>8535.94</v>
      </c>
      <c r="P37" s="62">
        <f>0</f>
        <v>0</v>
      </c>
      <c r="Q37" s="343">
        <f>0</f>
        <v>0</v>
      </c>
      <c r="R37" s="344"/>
      <c r="S37" s="62">
        <v>8535.94</v>
      </c>
      <c r="W37" s="101" t="s">
        <v>3</v>
      </c>
      <c r="Y37" s="102"/>
    </row>
    <row r="38" spans="1:25" s="101" customFormat="1" ht="78" customHeight="1" x14ac:dyDescent="0.3">
      <c r="A38" s="14">
        <v>3</v>
      </c>
      <c r="B38" s="15" t="s">
        <v>53</v>
      </c>
      <c r="C38" s="16">
        <v>405</v>
      </c>
      <c r="D38" s="61"/>
      <c r="E38" s="61" t="s">
        <v>39</v>
      </c>
      <c r="F38" s="61" t="s">
        <v>7</v>
      </c>
      <c r="G38" s="61"/>
      <c r="H38" s="61" t="s">
        <v>7</v>
      </c>
      <c r="I38" s="355">
        <v>2028.02</v>
      </c>
      <c r="J38" s="356"/>
      <c r="K38" s="18">
        <v>0.9</v>
      </c>
      <c r="L38" s="3">
        <f>O38</f>
        <v>2028.02</v>
      </c>
      <c r="M38" s="355">
        <v>0</v>
      </c>
      <c r="N38" s="356"/>
      <c r="O38" s="3">
        <f>'[1]Подрядный способ'!$J$5</f>
        <v>2028.02</v>
      </c>
      <c r="P38" s="100">
        <f>0</f>
        <v>0</v>
      </c>
      <c r="Q38" s="343">
        <f>0</f>
        <v>0</v>
      </c>
      <c r="R38" s="344"/>
      <c r="S38" s="3">
        <f>O38</f>
        <v>2028.02</v>
      </c>
      <c r="Y38" s="102"/>
    </row>
    <row r="39" spans="1:25" s="101" customFormat="1" ht="87" customHeight="1" x14ac:dyDescent="0.3">
      <c r="A39" s="14">
        <v>4</v>
      </c>
      <c r="B39" s="15" t="s">
        <v>54</v>
      </c>
      <c r="C39" s="16">
        <v>903</v>
      </c>
      <c r="D39" s="341" t="s">
        <v>39</v>
      </c>
      <c r="E39" s="342"/>
      <c r="F39" s="61" t="s">
        <v>7</v>
      </c>
      <c r="G39" s="341" t="s">
        <v>7</v>
      </c>
      <c r="H39" s="342"/>
      <c r="I39" s="355">
        <v>2327.06</v>
      </c>
      <c r="J39" s="356"/>
      <c r="K39" s="18">
        <v>0.9</v>
      </c>
      <c r="L39" s="3">
        <f>O39</f>
        <v>2327.06</v>
      </c>
      <c r="M39" s="355">
        <v>0</v>
      </c>
      <c r="N39" s="356"/>
      <c r="O39" s="3">
        <f>'[1]Подрядный способ'!$J$6</f>
        <v>2327.06</v>
      </c>
      <c r="P39" s="100">
        <f>0</f>
        <v>0</v>
      </c>
      <c r="Q39" s="343">
        <f>0</f>
        <v>0</v>
      </c>
      <c r="R39" s="344"/>
      <c r="S39" s="3">
        <f>O39</f>
        <v>2327.06</v>
      </c>
      <c r="X39" s="102"/>
    </row>
    <row r="40" spans="1:25" ht="38.25" customHeight="1" x14ac:dyDescent="0.3">
      <c r="A40" s="28"/>
      <c r="B40" s="104" t="s">
        <v>32</v>
      </c>
      <c r="C40" s="29"/>
      <c r="D40" s="30"/>
      <c r="E40" s="30"/>
      <c r="F40" s="30"/>
      <c r="G40" s="30"/>
      <c r="H40" s="30"/>
      <c r="I40" s="349">
        <f>SUM(I37:J39)</f>
        <v>4355.08</v>
      </c>
      <c r="J40" s="350"/>
      <c r="K40" s="31"/>
      <c r="L40" s="27">
        <f>SUM(L37:L39)</f>
        <v>4355.08</v>
      </c>
      <c r="M40" s="349">
        <f>SUM(M37:N39)</f>
        <v>0</v>
      </c>
      <c r="N40" s="350"/>
      <c r="O40" s="27">
        <f>P40+Q40+S40</f>
        <v>12891.02</v>
      </c>
      <c r="P40" s="103">
        <f>SUM(P33:P39)</f>
        <v>0</v>
      </c>
      <c r="Q40" s="347">
        <f>SUM(Q37:R39)</f>
        <v>0</v>
      </c>
      <c r="R40" s="351"/>
      <c r="S40" s="27">
        <f>SUM(S37:S39)</f>
        <v>12891.02</v>
      </c>
      <c r="Y40" s="45"/>
    </row>
    <row r="41" spans="1:25" ht="44.25" customHeight="1" x14ac:dyDescent="0.3">
      <c r="A41" s="4"/>
      <c r="B41" s="6" t="s">
        <v>46</v>
      </c>
      <c r="C41" s="32"/>
      <c r="D41" s="33"/>
      <c r="E41" s="33"/>
      <c r="F41" s="33"/>
      <c r="G41" s="33"/>
      <c r="H41" s="33"/>
      <c r="I41" s="34"/>
      <c r="J41" s="35"/>
      <c r="K41" s="36"/>
      <c r="L41" s="37"/>
      <c r="M41" s="34"/>
      <c r="N41" s="38"/>
      <c r="O41" s="37"/>
      <c r="P41" s="66"/>
      <c r="Q41" s="65"/>
      <c r="R41" s="35"/>
      <c r="S41" s="37">
        <f>S40</f>
        <v>12891.02</v>
      </c>
      <c r="Y41" s="45"/>
    </row>
    <row r="42" spans="1:25" ht="0.75" customHeight="1" x14ac:dyDescent="0.3">
      <c r="A42" s="337" t="s">
        <v>28</v>
      </c>
      <c r="B42" s="338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8"/>
      <c r="Q42" s="338"/>
      <c r="R42" s="338"/>
      <c r="S42" s="339"/>
      <c r="Y42" s="45"/>
    </row>
    <row r="43" spans="1:25" s="43" customFormat="1" ht="75.75" hidden="1" customHeight="1" x14ac:dyDescent="0.3">
      <c r="A43" s="8" t="s">
        <v>41</v>
      </c>
      <c r="B43" s="63" t="s">
        <v>41</v>
      </c>
      <c r="C43" s="44" t="s">
        <v>41</v>
      </c>
      <c r="D43" s="8"/>
      <c r="E43" s="8" t="s">
        <v>41</v>
      </c>
      <c r="F43" s="8" t="s">
        <v>41</v>
      </c>
      <c r="G43" s="8"/>
      <c r="H43" s="8" t="s">
        <v>41</v>
      </c>
      <c r="I43" s="68" t="s">
        <v>41</v>
      </c>
      <c r="J43" s="64"/>
      <c r="K43" s="64"/>
      <c r="L43" s="40" t="s">
        <v>41</v>
      </c>
      <c r="M43" s="68"/>
      <c r="N43" s="69" t="s">
        <v>41</v>
      </c>
      <c r="O43" s="40" t="s">
        <v>41</v>
      </c>
      <c r="P43" s="41" t="s">
        <v>41</v>
      </c>
      <c r="Q43" s="42" t="s">
        <v>41</v>
      </c>
      <c r="R43" s="64"/>
      <c r="S43" s="40" t="s">
        <v>41</v>
      </c>
      <c r="Y43" s="45"/>
    </row>
    <row r="44" spans="1:25" s="43" customFormat="1" ht="33.75" hidden="1" customHeight="1" x14ac:dyDescent="0.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Y44" s="45"/>
    </row>
    <row r="45" spans="1:25" ht="46.5" hidden="1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</row>
    <row r="46" spans="1:25" ht="37.5" customHeight="1" x14ac:dyDescent="0.2">
      <c r="A46" s="352" t="s">
        <v>51</v>
      </c>
      <c r="B46" s="353"/>
      <c r="C46" s="353"/>
      <c r="D46" s="353"/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4"/>
      <c r="T46" s="23"/>
    </row>
    <row r="47" spans="1:25" ht="60.75" customHeight="1" x14ac:dyDescent="0.2">
      <c r="A47" s="14" t="s">
        <v>71</v>
      </c>
      <c r="B47" s="120" t="s">
        <v>10</v>
      </c>
      <c r="C47" s="129">
        <v>1717</v>
      </c>
      <c r="D47" s="73"/>
      <c r="E47" s="129">
        <f>C47</f>
        <v>1717</v>
      </c>
      <c r="F47" s="340" t="s">
        <v>74</v>
      </c>
      <c r="G47" s="334"/>
      <c r="H47" s="73" t="s">
        <v>75</v>
      </c>
      <c r="I47" s="341"/>
      <c r="J47" s="342"/>
      <c r="K47" s="98"/>
      <c r="L47" s="341"/>
      <c r="M47" s="342"/>
      <c r="N47" s="62">
        <v>0</v>
      </c>
      <c r="O47" s="62">
        <v>120000</v>
      </c>
      <c r="P47" s="62">
        <v>0</v>
      </c>
      <c r="Q47" s="343">
        <v>0</v>
      </c>
      <c r="R47" s="344"/>
      <c r="S47" s="62">
        <v>12000</v>
      </c>
    </row>
    <row r="48" spans="1:25" ht="63.75" customHeight="1" x14ac:dyDescent="0.2">
      <c r="A48" s="14">
        <v>2</v>
      </c>
      <c r="B48" s="59" t="s">
        <v>36</v>
      </c>
      <c r="C48" s="129">
        <v>329</v>
      </c>
      <c r="D48" s="73"/>
      <c r="E48" s="129"/>
      <c r="F48" s="340" t="s">
        <v>7</v>
      </c>
      <c r="G48" s="334"/>
      <c r="H48" s="73" t="s">
        <v>13</v>
      </c>
      <c r="I48" s="341"/>
      <c r="J48" s="342"/>
      <c r="K48" s="61"/>
      <c r="L48" s="341"/>
      <c r="M48" s="342"/>
      <c r="N48" s="62">
        <v>0</v>
      </c>
      <c r="O48" s="62">
        <f t="shared" ref="O48:O55" si="0">S48</f>
        <v>12000</v>
      </c>
      <c r="P48" s="62">
        <f>0</f>
        <v>0</v>
      </c>
      <c r="Q48" s="343">
        <f>0</f>
        <v>0</v>
      </c>
      <c r="R48" s="344"/>
      <c r="S48" s="62">
        <v>12000</v>
      </c>
    </row>
    <row r="49" spans="1:40" ht="63.75" customHeight="1" x14ac:dyDescent="0.2">
      <c r="A49" s="14">
        <v>3</v>
      </c>
      <c r="B49" s="120" t="s">
        <v>55</v>
      </c>
      <c r="C49" s="129">
        <v>1206</v>
      </c>
      <c r="D49" s="73"/>
      <c r="E49" s="129"/>
      <c r="F49" s="340" t="s">
        <v>12</v>
      </c>
      <c r="G49" s="334"/>
      <c r="H49" s="73" t="s">
        <v>7</v>
      </c>
      <c r="I49" s="341"/>
      <c r="J49" s="342"/>
      <c r="K49" s="61"/>
      <c r="L49" s="341"/>
      <c r="M49" s="342"/>
      <c r="N49" s="62">
        <v>0</v>
      </c>
      <c r="O49" s="62">
        <f t="shared" si="0"/>
        <v>12000</v>
      </c>
      <c r="P49" s="62">
        <f>0</f>
        <v>0</v>
      </c>
      <c r="Q49" s="343">
        <f>0</f>
        <v>0</v>
      </c>
      <c r="R49" s="344"/>
      <c r="S49" s="62">
        <v>12000</v>
      </c>
    </row>
    <row r="50" spans="1:40" ht="62.25" customHeight="1" x14ac:dyDescent="0.2">
      <c r="A50" s="14">
        <v>4</v>
      </c>
      <c r="B50" s="121" t="s">
        <v>83</v>
      </c>
      <c r="C50" s="129">
        <v>514</v>
      </c>
      <c r="D50" s="73"/>
      <c r="E50" s="129"/>
      <c r="F50" s="340" t="s">
        <v>86</v>
      </c>
      <c r="G50" s="334"/>
      <c r="H50" s="73" t="s">
        <v>13</v>
      </c>
      <c r="I50" s="341"/>
      <c r="J50" s="342"/>
      <c r="K50" s="61"/>
      <c r="L50" s="341"/>
      <c r="M50" s="342"/>
      <c r="N50" s="62">
        <v>0</v>
      </c>
      <c r="O50" s="62">
        <f t="shared" si="0"/>
        <v>10000</v>
      </c>
      <c r="P50" s="62">
        <f>0</f>
        <v>0</v>
      </c>
      <c r="Q50" s="343">
        <f>0</f>
        <v>0</v>
      </c>
      <c r="R50" s="344"/>
      <c r="S50" s="62">
        <v>10000</v>
      </c>
    </row>
    <row r="51" spans="1:40" ht="60.75" customHeight="1" x14ac:dyDescent="0.2">
      <c r="A51" s="14">
        <v>5</v>
      </c>
      <c r="B51" s="59" t="s">
        <v>90</v>
      </c>
      <c r="C51" s="129">
        <v>1036</v>
      </c>
      <c r="D51" s="73"/>
      <c r="E51" s="129"/>
      <c r="F51" s="340" t="s">
        <v>12</v>
      </c>
      <c r="G51" s="334"/>
      <c r="H51" s="73" t="s">
        <v>85</v>
      </c>
      <c r="I51" s="341"/>
      <c r="J51" s="342"/>
      <c r="K51" s="61"/>
      <c r="L51" s="345"/>
      <c r="M51" s="345"/>
      <c r="N51" s="62">
        <v>0</v>
      </c>
      <c r="O51" s="62">
        <f t="shared" si="0"/>
        <v>12000</v>
      </c>
      <c r="P51" s="62">
        <f>0</f>
        <v>0</v>
      </c>
      <c r="Q51" s="346">
        <f>0</f>
        <v>0</v>
      </c>
      <c r="R51" s="346"/>
      <c r="S51" s="62">
        <v>12000</v>
      </c>
    </row>
    <row r="52" spans="1:40" ht="60.75" customHeight="1" x14ac:dyDescent="0.2">
      <c r="A52" s="14">
        <v>6</v>
      </c>
      <c r="B52" s="120" t="s">
        <v>57</v>
      </c>
      <c r="C52" s="133">
        <v>329</v>
      </c>
      <c r="D52" s="73"/>
      <c r="E52" s="129"/>
      <c r="F52" s="340" t="s">
        <v>12</v>
      </c>
      <c r="G52" s="334"/>
      <c r="H52" s="73" t="s">
        <v>7</v>
      </c>
      <c r="I52" s="341"/>
      <c r="J52" s="342"/>
      <c r="K52" s="61"/>
      <c r="L52" s="341"/>
      <c r="M52" s="342"/>
      <c r="N52" s="62">
        <v>0</v>
      </c>
      <c r="O52" s="62">
        <f t="shared" si="0"/>
        <v>12000</v>
      </c>
      <c r="P52" s="62">
        <f>0</f>
        <v>0</v>
      </c>
      <c r="Q52" s="343">
        <f>0</f>
        <v>0</v>
      </c>
      <c r="R52" s="344"/>
      <c r="S52" s="62">
        <v>12000</v>
      </c>
    </row>
    <row r="53" spans="1:40" ht="60.75" customHeight="1" x14ac:dyDescent="0.2">
      <c r="A53" s="14" t="s">
        <v>70</v>
      </c>
      <c r="B53" s="122" t="s">
        <v>79</v>
      </c>
      <c r="C53" s="129">
        <v>767</v>
      </c>
      <c r="D53" s="73"/>
      <c r="E53" s="129">
        <v>767</v>
      </c>
      <c r="F53" s="340" t="s">
        <v>74</v>
      </c>
      <c r="G53" s="334"/>
      <c r="H53" s="73" t="s">
        <v>75</v>
      </c>
      <c r="I53" s="61"/>
      <c r="J53" s="61"/>
      <c r="K53" s="61"/>
      <c r="L53" s="61"/>
      <c r="M53" s="61"/>
      <c r="N53" s="62">
        <v>0</v>
      </c>
      <c r="O53" s="62">
        <f t="shared" si="0"/>
        <v>11000</v>
      </c>
      <c r="P53" s="62">
        <f>0</f>
        <v>0</v>
      </c>
      <c r="Q53" s="343">
        <f>0</f>
        <v>0</v>
      </c>
      <c r="R53" s="344"/>
      <c r="S53" s="62">
        <v>11000</v>
      </c>
    </row>
    <row r="54" spans="1:40" ht="60.75" customHeight="1" x14ac:dyDescent="0.2">
      <c r="A54" s="14" t="s">
        <v>72</v>
      </c>
      <c r="B54" s="127" t="s">
        <v>78</v>
      </c>
      <c r="C54" s="129">
        <v>610</v>
      </c>
      <c r="D54" s="73"/>
      <c r="E54" s="129">
        <v>610</v>
      </c>
      <c r="F54" s="340" t="s">
        <v>74</v>
      </c>
      <c r="G54" s="334"/>
      <c r="H54" s="73" t="s">
        <v>75</v>
      </c>
      <c r="I54" s="61"/>
      <c r="J54" s="61"/>
      <c r="K54" s="61"/>
      <c r="L54" s="61"/>
      <c r="M54" s="61"/>
      <c r="N54" s="62">
        <v>0</v>
      </c>
      <c r="O54" s="62">
        <f t="shared" si="0"/>
        <v>12000</v>
      </c>
      <c r="P54" s="62">
        <f>0</f>
        <v>0</v>
      </c>
      <c r="Q54" s="343">
        <f>0</f>
        <v>0</v>
      </c>
      <c r="R54" s="344"/>
      <c r="S54" s="62">
        <v>12000</v>
      </c>
    </row>
    <row r="55" spans="1:40" ht="60.75" customHeight="1" x14ac:dyDescent="0.2">
      <c r="A55" s="14" t="s">
        <v>73</v>
      </c>
      <c r="B55" s="55" t="s">
        <v>58</v>
      </c>
      <c r="C55" s="129">
        <v>601</v>
      </c>
      <c r="D55" s="73"/>
      <c r="E55" s="129">
        <v>601</v>
      </c>
      <c r="F55" s="340" t="s">
        <v>74</v>
      </c>
      <c r="G55" s="334"/>
      <c r="H55" s="73" t="s">
        <v>75</v>
      </c>
      <c r="I55" s="61"/>
      <c r="J55" s="61"/>
      <c r="K55" s="61"/>
      <c r="L55" s="61"/>
      <c r="M55" s="61"/>
      <c r="N55" s="62">
        <v>0</v>
      </c>
      <c r="O55" s="62">
        <f t="shared" si="0"/>
        <v>12000</v>
      </c>
      <c r="P55" s="62">
        <f>0</f>
        <v>0</v>
      </c>
      <c r="Q55" s="343">
        <f>0</f>
        <v>0</v>
      </c>
      <c r="R55" s="344"/>
      <c r="S55" s="62">
        <v>12000</v>
      </c>
    </row>
    <row r="56" spans="1:40" ht="36.75" customHeight="1" x14ac:dyDescent="0.2">
      <c r="A56" s="14">
        <v>10</v>
      </c>
      <c r="B56" s="119" t="s">
        <v>38</v>
      </c>
      <c r="C56" s="130">
        <v>1329</v>
      </c>
      <c r="D56" s="404">
        <v>1329</v>
      </c>
      <c r="E56" s="405"/>
      <c r="F56" s="73" t="s">
        <v>11</v>
      </c>
      <c r="G56" s="359" t="s">
        <v>47</v>
      </c>
      <c r="H56" s="360"/>
      <c r="I56" s="355"/>
      <c r="J56" s="356"/>
      <c r="K56" s="93">
        <v>0.9</v>
      </c>
      <c r="L56" s="94"/>
      <c r="M56" s="361">
        <v>0</v>
      </c>
      <c r="N56" s="362"/>
      <c r="O56" s="117">
        <f>Q56+S56</f>
        <v>1535.94</v>
      </c>
      <c r="P56" s="52">
        <v>0</v>
      </c>
      <c r="Q56" s="363">
        <v>0</v>
      </c>
      <c r="R56" s="364"/>
      <c r="S56" s="118">
        <v>1535.94</v>
      </c>
    </row>
    <row r="57" spans="1:40" ht="58.5" customHeight="1" x14ac:dyDescent="0.25">
      <c r="A57" s="14" t="s">
        <v>87</v>
      </c>
      <c r="B57" s="122" t="s">
        <v>80</v>
      </c>
      <c r="C57" s="129">
        <v>775</v>
      </c>
      <c r="D57" s="73"/>
      <c r="E57" s="129"/>
      <c r="F57" s="340" t="s">
        <v>8</v>
      </c>
      <c r="G57" s="334"/>
      <c r="H57" s="73" t="s">
        <v>12</v>
      </c>
      <c r="I57" s="61"/>
      <c r="J57" s="61"/>
      <c r="K57" s="61"/>
      <c r="L57" s="61"/>
      <c r="M57" s="61"/>
      <c r="N57" s="62">
        <v>0</v>
      </c>
      <c r="O57" s="62">
        <v>110000</v>
      </c>
      <c r="P57" s="62">
        <v>0</v>
      </c>
      <c r="Q57" s="343">
        <v>0</v>
      </c>
      <c r="R57" s="344"/>
      <c r="S57" s="62">
        <v>12000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</row>
    <row r="58" spans="1:40" ht="34.5" customHeight="1" x14ac:dyDescent="0.25">
      <c r="A58" s="28"/>
      <c r="B58" s="128" t="s">
        <v>31</v>
      </c>
      <c r="C58" s="24">
        <f>SUM(C47:C57)</f>
        <v>9213</v>
      </c>
      <c r="D58" s="25"/>
      <c r="E58" s="24">
        <f>SUM(D53:E57)</f>
        <v>3307</v>
      </c>
      <c r="F58" s="25"/>
      <c r="G58" s="25"/>
      <c r="H58" s="25"/>
      <c r="I58" s="25"/>
      <c r="J58" s="25"/>
      <c r="K58" s="25"/>
      <c r="L58" s="25"/>
      <c r="M58" s="25"/>
      <c r="N58" s="26">
        <f>SUM(N47:N57)</f>
        <v>0</v>
      </c>
      <c r="O58" s="26">
        <f>SUM(O47:O57)</f>
        <v>324535.94</v>
      </c>
      <c r="P58" s="26">
        <f>SUM(P47:P57)</f>
        <v>0</v>
      </c>
      <c r="Q58" s="347">
        <f>SUM(Q47:R57)</f>
        <v>0</v>
      </c>
      <c r="R58" s="348"/>
      <c r="S58" s="26">
        <f>SUM(S47:S57)</f>
        <v>118535.94</v>
      </c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</row>
    <row r="59" spans="1:40" ht="57" customHeight="1" x14ac:dyDescent="0.25">
      <c r="A59" s="337" t="s">
        <v>29</v>
      </c>
      <c r="B59" s="338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9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</row>
    <row r="60" spans="1:40" ht="51" customHeight="1" x14ac:dyDescent="0.25">
      <c r="A60" s="8"/>
      <c r="B60" s="48" t="s">
        <v>49</v>
      </c>
      <c r="C60" s="326"/>
      <c r="D60" s="327"/>
      <c r="E60" s="44"/>
      <c r="F60" s="326"/>
      <c r="G60" s="327"/>
      <c r="H60" s="8"/>
      <c r="I60" s="326"/>
      <c r="J60" s="327"/>
      <c r="K60" s="8"/>
      <c r="L60" s="326"/>
      <c r="M60" s="327"/>
      <c r="N60" s="8"/>
      <c r="O60" s="8"/>
      <c r="P60" s="8"/>
      <c r="Q60" s="326"/>
      <c r="R60" s="327"/>
      <c r="S60" s="49">
        <f>I33-L33</f>
        <v>110407.87</v>
      </c>
      <c r="T60" s="46"/>
      <c r="U60" s="47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</row>
    <row r="61" spans="1:40" ht="45" customHeight="1" x14ac:dyDescent="0.25">
      <c r="A61" s="105"/>
      <c r="B61" s="59" t="s">
        <v>81</v>
      </c>
      <c r="C61" s="328"/>
      <c r="D61" s="329"/>
      <c r="E61" s="106"/>
      <c r="F61" s="328"/>
      <c r="G61" s="329"/>
      <c r="H61" s="105"/>
      <c r="I61" s="330">
        <f>I33+I40</f>
        <v>1132919</v>
      </c>
      <c r="J61" s="331"/>
      <c r="K61" s="73"/>
      <c r="L61" s="332">
        <f>L33+L40</f>
        <v>1022511.1299999999</v>
      </c>
      <c r="M61" s="333"/>
      <c r="N61" s="50">
        <f>M33+M40</f>
        <v>178625.93</v>
      </c>
      <c r="O61" s="50">
        <f>P61+Q61+S61</f>
        <v>788052.05</v>
      </c>
      <c r="P61" s="50">
        <v>0</v>
      </c>
      <c r="Q61" s="332">
        <f>Q33</f>
        <v>400000.25</v>
      </c>
      <c r="R61" s="334"/>
      <c r="S61" s="22">
        <v>388051.8</v>
      </c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</row>
    <row r="62" spans="1:40" ht="42" customHeight="1" x14ac:dyDescent="0.2">
      <c r="A62" s="105"/>
      <c r="B62" s="59" t="s">
        <v>46</v>
      </c>
      <c r="C62" s="107"/>
      <c r="D62" s="108"/>
      <c r="E62" s="106"/>
      <c r="F62" s="107"/>
      <c r="G62" s="108"/>
      <c r="H62" s="105"/>
      <c r="I62" s="109"/>
      <c r="J62" s="110"/>
      <c r="K62" s="111"/>
      <c r="L62" s="112"/>
      <c r="M62" s="113"/>
      <c r="N62" s="114"/>
      <c r="O62" s="115"/>
      <c r="P62" s="116"/>
      <c r="Q62" s="335"/>
      <c r="R62" s="336"/>
      <c r="S62" s="50">
        <v>258297.66</v>
      </c>
      <c r="U62" s="23"/>
    </row>
    <row r="63" spans="1:40" ht="45.75" customHeight="1" x14ac:dyDescent="0.2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7"/>
      <c r="T63" s="46"/>
      <c r="U63" s="46"/>
    </row>
    <row r="65" spans="16:19" ht="25.5" x14ac:dyDescent="0.35">
      <c r="P65" s="23"/>
      <c r="Q65" s="23"/>
      <c r="S65" s="21"/>
    </row>
  </sheetData>
  <mergeCells count="156">
    <mergeCell ref="T25:U25"/>
    <mergeCell ref="A15:S15"/>
    <mergeCell ref="C37:D37"/>
    <mergeCell ref="F37:G37"/>
    <mergeCell ref="L37:M37"/>
    <mergeCell ref="D56:E56"/>
    <mergeCell ref="G56:H56"/>
    <mergeCell ref="I56:J56"/>
    <mergeCell ref="M56:N56"/>
    <mergeCell ref="Q56:R56"/>
    <mergeCell ref="Q21:R21"/>
    <mergeCell ref="U17:V17"/>
    <mergeCell ref="D22:E22"/>
    <mergeCell ref="G22:H22"/>
    <mergeCell ref="I22:J22"/>
    <mergeCell ref="M22:N22"/>
    <mergeCell ref="Q22:R22"/>
    <mergeCell ref="C34:D34"/>
    <mergeCell ref="F34:G34"/>
    <mergeCell ref="I34:J34"/>
    <mergeCell ref="L34:M34"/>
    <mergeCell ref="Q34:R34"/>
    <mergeCell ref="Q25:R25"/>
    <mergeCell ref="Q18:R18"/>
    <mergeCell ref="M18:N18"/>
    <mergeCell ref="I18:J18"/>
    <mergeCell ref="G18:H18"/>
    <mergeCell ref="D18:E18"/>
    <mergeCell ref="Q24:R24"/>
    <mergeCell ref="Q32:R32"/>
    <mergeCell ref="I24:J24"/>
    <mergeCell ref="M24:N24"/>
    <mergeCell ref="D19:E19"/>
    <mergeCell ref="G19:H19"/>
    <mergeCell ref="I19:J19"/>
    <mergeCell ref="M19:N19"/>
    <mergeCell ref="Q19:R19"/>
    <mergeCell ref="D20:E20"/>
    <mergeCell ref="G20:H20"/>
    <mergeCell ref="I20:J20"/>
    <mergeCell ref="M20:N20"/>
    <mergeCell ref="Q20:R20"/>
    <mergeCell ref="D21:E21"/>
    <mergeCell ref="G21:H21"/>
    <mergeCell ref="I21:J21"/>
    <mergeCell ref="M21:N21"/>
    <mergeCell ref="Q26:R26"/>
    <mergeCell ref="Q27:R27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X17:Y17"/>
    <mergeCell ref="AA17:AB17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Q28:R28"/>
    <mergeCell ref="A36:S36"/>
    <mergeCell ref="D23:E23"/>
    <mergeCell ref="G23:H23"/>
    <mergeCell ref="I23:J23"/>
    <mergeCell ref="M23:N23"/>
    <mergeCell ref="Q23:R23"/>
    <mergeCell ref="A33:B33"/>
    <mergeCell ref="I33:J33"/>
    <mergeCell ref="M33:N33"/>
    <mergeCell ref="Q33:R33"/>
    <mergeCell ref="Q35:R35"/>
    <mergeCell ref="I38:J38"/>
    <mergeCell ref="M38:N38"/>
    <mergeCell ref="Q38:R38"/>
    <mergeCell ref="D39:E39"/>
    <mergeCell ref="G39:H39"/>
    <mergeCell ref="I39:J39"/>
    <mergeCell ref="M39:N39"/>
    <mergeCell ref="Q39:R39"/>
    <mergeCell ref="I37:J37"/>
    <mergeCell ref="Q37:R37"/>
    <mergeCell ref="F48:G48"/>
    <mergeCell ref="I48:J48"/>
    <mergeCell ref="L48:M48"/>
    <mergeCell ref="Q48:R48"/>
    <mergeCell ref="F49:G49"/>
    <mergeCell ref="I49:J49"/>
    <mergeCell ref="L49:M49"/>
    <mergeCell ref="Q49:R49"/>
    <mergeCell ref="I40:J40"/>
    <mergeCell ref="M40:N40"/>
    <mergeCell ref="Q40:R40"/>
    <mergeCell ref="A42:S42"/>
    <mergeCell ref="A46:S46"/>
    <mergeCell ref="F47:G47"/>
    <mergeCell ref="I47:J47"/>
    <mergeCell ref="L47:M47"/>
    <mergeCell ref="Q47:R47"/>
    <mergeCell ref="Q62:R62"/>
    <mergeCell ref="A59:S59"/>
    <mergeCell ref="F52:G52"/>
    <mergeCell ref="I52:J52"/>
    <mergeCell ref="L52:M52"/>
    <mergeCell ref="Q52:R52"/>
    <mergeCell ref="F50:G50"/>
    <mergeCell ref="I50:J50"/>
    <mergeCell ref="L50:M50"/>
    <mergeCell ref="Q50:R50"/>
    <mergeCell ref="F51:G51"/>
    <mergeCell ref="I51:J51"/>
    <mergeCell ref="L51:M51"/>
    <mergeCell ref="Q51:R51"/>
    <mergeCell ref="Q53:R53"/>
    <mergeCell ref="Q54:R54"/>
    <mergeCell ref="Q55:R55"/>
    <mergeCell ref="Q57:R57"/>
    <mergeCell ref="Q58:R58"/>
    <mergeCell ref="F53:G53"/>
    <mergeCell ref="F54:G54"/>
    <mergeCell ref="F55:G55"/>
    <mergeCell ref="F57:G57"/>
    <mergeCell ref="C60:D60"/>
    <mergeCell ref="F60:G60"/>
    <mergeCell ref="I60:J60"/>
    <mergeCell ref="L60:M60"/>
    <mergeCell ref="Q60:R60"/>
    <mergeCell ref="C61:D61"/>
    <mergeCell ref="F61:G61"/>
    <mergeCell ref="I61:J61"/>
    <mergeCell ref="L61:M61"/>
    <mergeCell ref="Q61:R61"/>
  </mergeCells>
  <pageMargins left="0" right="0" top="0" bottom="0" header="0" footer="0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BZ68"/>
  <sheetViews>
    <sheetView topLeftCell="A20" zoomScale="69" zoomScaleNormal="69" zoomScalePageLayoutView="60" workbookViewId="0">
      <selection activeCell="I25" sqref="I25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1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style="134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211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212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212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6</v>
      </c>
      <c r="G4" s="163"/>
      <c r="H4" s="163"/>
      <c r="I4" s="163"/>
      <c r="J4" s="163"/>
      <c r="K4" s="163"/>
      <c r="L4" s="163"/>
      <c r="M4" s="163"/>
      <c r="N4" s="212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212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0" t="s">
        <v>59</v>
      </c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0"/>
    </row>
    <row r="8" spans="1:16302" ht="11.25" customHeight="1" x14ac:dyDescent="0.2">
      <c r="A8" s="10"/>
    </row>
    <row r="9" spans="1:16302" ht="43.5" customHeight="1" x14ac:dyDescent="0.2">
      <c r="A9" s="392" t="s">
        <v>4</v>
      </c>
      <c r="B9" s="411" t="s">
        <v>14</v>
      </c>
      <c r="C9" s="414" t="s">
        <v>15</v>
      </c>
      <c r="D9" s="411" t="s">
        <v>16</v>
      </c>
      <c r="E9" s="417"/>
      <c r="F9" s="411" t="s">
        <v>17</v>
      </c>
      <c r="G9" s="420"/>
      <c r="H9" s="417"/>
      <c r="I9" s="341" t="s">
        <v>18</v>
      </c>
      <c r="J9" s="422"/>
      <c r="K9" s="422"/>
      <c r="L9" s="342"/>
      <c r="M9" s="411" t="s">
        <v>65</v>
      </c>
      <c r="N9" s="417"/>
      <c r="O9" s="341" t="s">
        <v>68</v>
      </c>
      <c r="P9" s="422"/>
      <c r="Q9" s="422"/>
      <c r="R9" s="422"/>
      <c r="S9" s="342"/>
    </row>
    <row r="10" spans="1:16302" ht="18.75" customHeight="1" x14ac:dyDescent="0.2">
      <c r="A10" s="393"/>
      <c r="B10" s="412"/>
      <c r="C10" s="415"/>
      <c r="D10" s="412"/>
      <c r="E10" s="418"/>
      <c r="F10" s="413"/>
      <c r="G10" s="421"/>
      <c r="H10" s="419"/>
      <c r="I10" s="341" t="s">
        <v>77</v>
      </c>
      <c r="J10" s="422"/>
      <c r="K10" s="422"/>
      <c r="L10" s="342"/>
      <c r="M10" s="412"/>
      <c r="N10" s="418"/>
      <c r="O10" s="428" t="s">
        <v>19</v>
      </c>
      <c r="P10" s="422"/>
      <c r="Q10" s="422"/>
      <c r="R10" s="422"/>
      <c r="S10" s="342"/>
    </row>
    <row r="11" spans="1:16302" ht="18.75" customHeight="1" x14ac:dyDescent="0.2">
      <c r="A11" s="393"/>
      <c r="B11" s="412"/>
      <c r="C11" s="415"/>
      <c r="D11" s="412"/>
      <c r="E11" s="418"/>
      <c r="F11" s="61" t="s">
        <v>20</v>
      </c>
      <c r="G11" s="341" t="s">
        <v>21</v>
      </c>
      <c r="H11" s="342"/>
      <c r="I11" s="411" t="s">
        <v>22</v>
      </c>
      <c r="J11" s="417"/>
      <c r="K11" s="61"/>
      <c r="L11" s="414" t="s">
        <v>23</v>
      </c>
      <c r="M11" s="412"/>
      <c r="N11" s="418"/>
      <c r="O11" s="429"/>
      <c r="P11" s="417" t="s">
        <v>66</v>
      </c>
      <c r="Q11" s="411" t="s">
        <v>67</v>
      </c>
      <c r="R11" s="420"/>
      <c r="S11" s="417"/>
    </row>
    <row r="12" spans="1:16302" ht="18.75" customHeight="1" x14ac:dyDescent="0.2">
      <c r="A12" s="393"/>
      <c r="B12" s="412"/>
      <c r="C12" s="415"/>
      <c r="D12" s="412"/>
      <c r="E12" s="418"/>
      <c r="F12" s="61" t="s">
        <v>69</v>
      </c>
      <c r="G12" s="341" t="s">
        <v>69</v>
      </c>
      <c r="H12" s="342"/>
      <c r="I12" s="412"/>
      <c r="J12" s="418"/>
      <c r="K12" s="61"/>
      <c r="L12" s="415"/>
      <c r="M12" s="412"/>
      <c r="N12" s="418"/>
      <c r="O12" s="429"/>
      <c r="P12" s="418"/>
      <c r="Q12" s="413"/>
      <c r="R12" s="421"/>
      <c r="S12" s="419"/>
    </row>
    <row r="13" spans="1:16302" ht="95.25" customHeight="1" x14ac:dyDescent="0.2">
      <c r="A13" s="394"/>
      <c r="B13" s="413"/>
      <c r="C13" s="416"/>
      <c r="D13" s="413"/>
      <c r="E13" s="419"/>
      <c r="F13" s="61" t="s">
        <v>63</v>
      </c>
      <c r="G13" s="341" t="s">
        <v>64</v>
      </c>
      <c r="H13" s="342"/>
      <c r="I13" s="413"/>
      <c r="J13" s="419"/>
      <c r="K13" s="61"/>
      <c r="L13" s="416"/>
      <c r="M13" s="413"/>
      <c r="N13" s="419"/>
      <c r="O13" s="430"/>
      <c r="P13" s="419"/>
      <c r="Q13" s="341" t="s">
        <v>24</v>
      </c>
      <c r="R13" s="342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23">
        <v>4</v>
      </c>
      <c r="E14" s="424"/>
      <c r="F14" s="141">
        <v>5</v>
      </c>
      <c r="G14" s="423">
        <v>6</v>
      </c>
      <c r="H14" s="424"/>
      <c r="I14" s="423">
        <v>7</v>
      </c>
      <c r="J14" s="424"/>
      <c r="K14" s="141"/>
      <c r="L14" s="141">
        <v>8</v>
      </c>
      <c r="M14" s="423">
        <v>9</v>
      </c>
      <c r="N14" s="424"/>
      <c r="O14" s="166">
        <v>10</v>
      </c>
      <c r="P14" s="167">
        <v>11</v>
      </c>
      <c r="Q14" s="423">
        <v>12</v>
      </c>
      <c r="R14" s="424"/>
      <c r="S14" s="146">
        <v>13</v>
      </c>
    </row>
    <row r="15" spans="1:16302" ht="36" customHeight="1" x14ac:dyDescent="0.2">
      <c r="A15" s="425" t="s">
        <v>26</v>
      </c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7"/>
    </row>
    <row r="16" spans="1:16302" ht="65.25" customHeight="1" x14ac:dyDescent="0.3">
      <c r="A16" s="14">
        <v>1</v>
      </c>
      <c r="B16" s="15" t="s">
        <v>48</v>
      </c>
      <c r="C16" s="16">
        <v>567</v>
      </c>
      <c r="D16" s="374">
        <v>567</v>
      </c>
      <c r="E16" s="375"/>
      <c r="F16" s="73" t="s">
        <v>76</v>
      </c>
      <c r="G16" s="73"/>
      <c r="H16" s="73" t="s">
        <v>75</v>
      </c>
      <c r="I16" s="355">
        <v>71245.2</v>
      </c>
      <c r="J16" s="356"/>
      <c r="K16" s="87">
        <v>0.9</v>
      </c>
      <c r="L16" s="3">
        <v>64800</v>
      </c>
      <c r="M16" s="330">
        <v>64742.8</v>
      </c>
      <c r="N16" s="331"/>
      <c r="O16" s="40">
        <f>Q16+S16</f>
        <v>6502.4</v>
      </c>
      <c r="P16" s="100">
        <f>0</f>
        <v>0</v>
      </c>
      <c r="Q16" s="343">
        <f>0</f>
        <v>0</v>
      </c>
      <c r="R16" s="344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16">
        <v>377</v>
      </c>
      <c r="D17" s="374">
        <v>377</v>
      </c>
      <c r="E17" s="375"/>
      <c r="F17" s="73" t="s">
        <v>76</v>
      </c>
      <c r="G17" s="340" t="s">
        <v>11</v>
      </c>
      <c r="H17" s="334"/>
      <c r="I17" s="355">
        <v>106395</v>
      </c>
      <c r="J17" s="356"/>
      <c r="K17" s="88">
        <v>0.9</v>
      </c>
      <c r="L17" s="62">
        <f>I17-(I17*0.9%)</f>
        <v>105437.44500000001</v>
      </c>
      <c r="M17" s="343">
        <v>3484.21</v>
      </c>
      <c r="N17" s="344"/>
      <c r="O17" s="50">
        <f>Q17+S17</f>
        <v>92679.51</v>
      </c>
      <c r="P17" s="100">
        <f>0</f>
        <v>0</v>
      </c>
      <c r="Q17" s="355">
        <f>72000</f>
        <v>72000</v>
      </c>
      <c r="R17" s="356"/>
      <c r="S17" s="3">
        <f>20679.51</f>
        <v>20679.509999999998</v>
      </c>
    </row>
    <row r="18" spans="1:61" ht="44.25" customHeight="1" x14ac:dyDescent="0.2">
      <c r="A18" s="14">
        <v>3</v>
      </c>
      <c r="B18" s="15" t="s">
        <v>30</v>
      </c>
      <c r="C18" s="16">
        <v>502</v>
      </c>
      <c r="D18" s="374">
        <v>502</v>
      </c>
      <c r="E18" s="375"/>
      <c r="F18" s="73" t="s">
        <v>76</v>
      </c>
      <c r="G18" s="340" t="s">
        <v>11</v>
      </c>
      <c r="H18" s="334"/>
      <c r="I18" s="355">
        <v>110501.12</v>
      </c>
      <c r="J18" s="356"/>
      <c r="K18" s="88">
        <v>0.9</v>
      </c>
      <c r="L18" s="62">
        <f>I18-(I18*0.9%)</f>
        <v>109506.60991999999</v>
      </c>
      <c r="M18" s="343">
        <f>5555.65+15059.6</f>
        <v>20615.25</v>
      </c>
      <c r="N18" s="344"/>
      <c r="O18" s="40">
        <f>Q18+S18</f>
        <v>72335</v>
      </c>
      <c r="P18" s="100">
        <f>0</f>
        <v>0</v>
      </c>
      <c r="Q18" s="355">
        <v>43335</v>
      </c>
      <c r="R18" s="356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16">
        <v>1064</v>
      </c>
      <c r="D19" s="374">
        <v>1064</v>
      </c>
      <c r="E19" s="375"/>
      <c r="F19" s="73" t="s">
        <v>76</v>
      </c>
      <c r="G19" s="340" t="s">
        <v>12</v>
      </c>
      <c r="H19" s="334"/>
      <c r="I19" s="355">
        <v>99278</v>
      </c>
      <c r="J19" s="356"/>
      <c r="K19" s="88">
        <v>0.9</v>
      </c>
      <c r="L19" s="62">
        <f>I19-(I19*0.9%)</f>
        <v>98384.498000000007</v>
      </c>
      <c r="M19" s="343">
        <v>19541</v>
      </c>
      <c r="N19" s="344"/>
      <c r="O19" s="50">
        <f>Q19+S19</f>
        <v>51137.880000000005</v>
      </c>
      <c r="P19" s="100">
        <f>0</f>
        <v>0</v>
      </c>
      <c r="Q19" s="355">
        <v>40298.870000000003</v>
      </c>
      <c r="R19" s="356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218" t="s">
        <v>38</v>
      </c>
      <c r="C20" s="219">
        <v>1329</v>
      </c>
      <c r="D20" s="439">
        <v>1329</v>
      </c>
      <c r="E20" s="440"/>
      <c r="F20" s="25" t="s">
        <v>76</v>
      </c>
      <c r="G20" s="441" t="s">
        <v>11</v>
      </c>
      <c r="H20" s="442"/>
      <c r="I20" s="349">
        <v>167041.60000000001</v>
      </c>
      <c r="J20" s="350"/>
      <c r="K20" s="220">
        <v>0.9</v>
      </c>
      <c r="L20" s="26">
        <v>150337.44</v>
      </c>
      <c r="M20" s="443">
        <f>46.05+7000+143.54+167.29+125+7500</f>
        <v>14981.880000000001</v>
      </c>
      <c r="N20" s="444"/>
      <c r="O20" s="26">
        <f>Q20+S20</f>
        <v>103000</v>
      </c>
      <c r="P20" s="103">
        <f>0</f>
        <v>0</v>
      </c>
      <c r="Q20" s="349">
        <f>72163-15000</f>
        <v>57163</v>
      </c>
      <c r="R20" s="350"/>
      <c r="S20" s="27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16">
        <v>549</v>
      </c>
      <c r="D21" s="61"/>
      <c r="E21" s="16">
        <f>C21</f>
        <v>549</v>
      </c>
      <c r="F21" s="61" t="s">
        <v>76</v>
      </c>
      <c r="G21" s="61"/>
      <c r="H21" s="61" t="s">
        <v>11</v>
      </c>
      <c r="I21" s="355">
        <v>104103</v>
      </c>
      <c r="J21" s="356"/>
      <c r="K21" s="87">
        <v>0.9</v>
      </c>
      <c r="L21" s="62">
        <f>I21-(I21*0.9%)</f>
        <v>103166.073</v>
      </c>
      <c r="M21" s="355">
        <f>40350.59+14910.2</f>
        <v>55260.789999999994</v>
      </c>
      <c r="N21" s="356"/>
      <c r="O21" s="3">
        <f>P21+Q21+S21</f>
        <v>35000</v>
      </c>
      <c r="P21" s="100">
        <f>0</f>
        <v>0</v>
      </c>
      <c r="Q21" s="355">
        <f>0</f>
        <v>0</v>
      </c>
      <c r="R21" s="35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4">
        <v>7</v>
      </c>
      <c r="B22" s="6" t="s">
        <v>10</v>
      </c>
      <c r="C22" s="161">
        <v>1717</v>
      </c>
      <c r="D22" s="162"/>
      <c r="E22" s="161">
        <f>C22</f>
        <v>1717</v>
      </c>
      <c r="F22" s="162" t="s">
        <v>11</v>
      </c>
      <c r="G22" s="162"/>
      <c r="H22" s="162" t="s">
        <v>7</v>
      </c>
      <c r="I22" s="34">
        <v>116353</v>
      </c>
      <c r="J22" s="38">
        <f>SUM(I22)</f>
        <v>116353</v>
      </c>
      <c r="K22" s="194">
        <v>0.9</v>
      </c>
      <c r="L22" s="22">
        <f>I22-(I22*0.9%)</f>
        <v>115305.823</v>
      </c>
      <c r="M22" s="209"/>
      <c r="N22" s="38">
        <v>0</v>
      </c>
      <c r="O22" s="37">
        <f>Q22+S22</f>
        <v>106215.82</v>
      </c>
      <c r="P22" s="66">
        <f>0</f>
        <v>0</v>
      </c>
      <c r="Q22" s="433">
        <f>37800+10349.82-19000</f>
        <v>29149.82</v>
      </c>
      <c r="R22" s="434"/>
      <c r="S22" s="37">
        <f>87066-10000</f>
        <v>77066</v>
      </c>
    </row>
    <row r="23" spans="1:61" ht="38.25" customHeight="1" x14ac:dyDescent="0.3">
      <c r="A23" s="14">
        <v>8</v>
      </c>
      <c r="B23" s="6" t="s">
        <v>79</v>
      </c>
      <c r="C23" s="161">
        <v>711.8</v>
      </c>
      <c r="D23" s="162"/>
      <c r="E23" s="161">
        <f>C23</f>
        <v>711.8</v>
      </c>
      <c r="F23" s="162" t="s">
        <v>12</v>
      </c>
      <c r="G23" s="162" t="s">
        <v>9</v>
      </c>
      <c r="H23" s="162" t="s">
        <v>9</v>
      </c>
      <c r="I23" s="34">
        <v>103300</v>
      </c>
      <c r="J23" s="38">
        <f>SUM(I23)</f>
        <v>103300</v>
      </c>
      <c r="K23" s="195">
        <v>0.9</v>
      </c>
      <c r="L23" s="22">
        <f>I23-(I23*0.9%)</f>
        <v>102370.3</v>
      </c>
      <c r="M23" s="209"/>
      <c r="N23" s="38">
        <v>0</v>
      </c>
      <c r="O23" s="37">
        <f>Q23+S23</f>
        <v>86077.3</v>
      </c>
      <c r="P23" s="66">
        <f>0</f>
        <v>0</v>
      </c>
      <c r="Q23" s="433">
        <f>23000+19000+15536.08-20000-6203</f>
        <v>31333.08</v>
      </c>
      <c r="R23" s="434"/>
      <c r="S23" s="37">
        <f>80000-3255.78-22000</f>
        <v>54744.22</v>
      </c>
    </row>
    <row r="24" spans="1:61" ht="55.5" customHeight="1" x14ac:dyDescent="0.3">
      <c r="A24" s="14">
        <v>9</v>
      </c>
      <c r="B24" s="210" t="s">
        <v>82</v>
      </c>
      <c r="C24" s="161">
        <v>610</v>
      </c>
      <c r="D24" s="162"/>
      <c r="E24" s="161">
        <f>C24</f>
        <v>610</v>
      </c>
      <c r="F24" s="162" t="s">
        <v>12</v>
      </c>
      <c r="G24" s="162" t="s">
        <v>9</v>
      </c>
      <c r="H24" s="162" t="s">
        <v>9</v>
      </c>
      <c r="I24" s="34">
        <v>82000</v>
      </c>
      <c r="J24" s="38">
        <f>SUM(I24)</f>
        <v>82000</v>
      </c>
      <c r="K24" s="195">
        <v>0.9</v>
      </c>
      <c r="L24" s="22">
        <f>I24-(I24*0.9%)</f>
        <v>81262</v>
      </c>
      <c r="M24" s="209"/>
      <c r="N24" s="38">
        <v>0</v>
      </c>
      <c r="O24" s="37">
        <f>Q24+S24</f>
        <v>75059</v>
      </c>
      <c r="P24" s="66">
        <f>0</f>
        <v>0</v>
      </c>
      <c r="Q24" s="433">
        <f>19000+10000+2609.49-20000+23978.71-8126.2-6203</f>
        <v>21258.999999999996</v>
      </c>
      <c r="R24" s="434"/>
      <c r="S24" s="37">
        <f>75000-12000-9200</f>
        <v>53800</v>
      </c>
    </row>
    <row r="25" spans="1:61" ht="53.25" customHeight="1" x14ac:dyDescent="0.3">
      <c r="A25" s="14">
        <v>10</v>
      </c>
      <c r="B25" s="6" t="s">
        <v>58</v>
      </c>
      <c r="C25" s="161">
        <v>601</v>
      </c>
      <c r="D25" s="162"/>
      <c r="E25" s="161">
        <f>C25</f>
        <v>601</v>
      </c>
      <c r="F25" s="162" t="s">
        <v>8</v>
      </c>
      <c r="G25" s="162"/>
      <c r="H25" s="162" t="s">
        <v>13</v>
      </c>
      <c r="I25" s="209">
        <v>118580</v>
      </c>
      <c r="J25" s="38">
        <f>SUM(I25)</f>
        <v>118580</v>
      </c>
      <c r="K25" s="195">
        <v>0.9</v>
      </c>
      <c r="L25" s="26">
        <f>I25-(I25*0.9%)</f>
        <v>117512.78</v>
      </c>
      <c r="M25" s="217"/>
      <c r="N25" s="208">
        <v>0</v>
      </c>
      <c r="O25" s="27">
        <f>Q25+S25</f>
        <v>73435.399999999994</v>
      </c>
      <c r="P25" s="66">
        <f>0</f>
        <v>0</v>
      </c>
      <c r="Q25" s="433">
        <f>22000+38000-944.77-27000-6203-0.49</f>
        <v>25851.74</v>
      </c>
      <c r="R25" s="434"/>
      <c r="S25" s="37">
        <f>47005-578.66+1157.32</f>
        <v>47583.659999999996</v>
      </c>
    </row>
    <row r="26" spans="1:61" ht="42" customHeight="1" x14ac:dyDescent="0.3">
      <c r="A26" s="431"/>
      <c r="B26" s="432"/>
      <c r="C26" s="149">
        <f>SUM(C16:C25)</f>
        <v>8027.8</v>
      </c>
      <c r="D26" s="149">
        <f>SUM(D16:D25)</f>
        <v>3839</v>
      </c>
      <c r="E26" s="149">
        <v>8027.8</v>
      </c>
      <c r="F26" s="150"/>
      <c r="G26" s="150"/>
      <c r="H26" s="150"/>
      <c r="I26" s="433">
        <f>SUM(I16:I25)</f>
        <v>1078796.92</v>
      </c>
      <c r="J26" s="434"/>
      <c r="K26" s="151"/>
      <c r="L26" s="152">
        <f>SUM(L16:L25)</f>
        <v>1048082.9689200001</v>
      </c>
      <c r="M26" s="435">
        <f>SUM(M16:M25)</f>
        <v>178625.93</v>
      </c>
      <c r="N26" s="436"/>
      <c r="O26" s="152">
        <f>SUM(O16:O25)</f>
        <v>701442.31</v>
      </c>
      <c r="P26" s="152">
        <v>0</v>
      </c>
      <c r="Q26" s="437">
        <f>SUM(Q16:R25)</f>
        <v>320390.51</v>
      </c>
      <c r="R26" s="438"/>
      <c r="S26" s="37">
        <f>SUM(S16:S25)</f>
        <v>381051.8</v>
      </c>
      <c r="T26" s="200"/>
      <c r="U26" s="137">
        <f>Q26-400000</f>
        <v>-79609.489999999991</v>
      </c>
    </row>
    <row r="27" spans="1:61" ht="51.75" hidden="1" customHeight="1" x14ac:dyDescent="0.2">
      <c r="A27" s="14"/>
      <c r="B27" s="55" t="s">
        <v>46</v>
      </c>
      <c r="C27" s="445"/>
      <c r="D27" s="446"/>
      <c r="E27" s="138"/>
      <c r="F27" s="445"/>
      <c r="G27" s="446"/>
      <c r="H27" s="14"/>
      <c r="I27" s="445"/>
      <c r="J27" s="446"/>
      <c r="K27" s="14"/>
      <c r="L27" s="445"/>
      <c r="M27" s="446"/>
      <c r="N27" s="4"/>
      <c r="O27" s="139"/>
      <c r="P27" s="12"/>
      <c r="Q27" s="447"/>
      <c r="R27" s="446"/>
      <c r="S27" s="62"/>
    </row>
    <row r="28" spans="1:61" ht="26.25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4"/>
      <c r="O28" s="139"/>
      <c r="P28" s="12"/>
      <c r="Q28" s="448"/>
      <c r="R28" s="448"/>
      <c r="S28" s="62">
        <v>258297.66</v>
      </c>
      <c r="T28" s="192"/>
    </row>
    <row r="29" spans="1:61" ht="26.25" customHeight="1" x14ac:dyDescent="0.2">
      <c r="A29" s="14"/>
      <c r="B29" s="425" t="s">
        <v>104</v>
      </c>
      <c r="C29" s="426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  <c r="S29" s="427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55">
        <v>113514</v>
      </c>
      <c r="J30" s="356"/>
      <c r="K30" s="3">
        <v>0.9</v>
      </c>
      <c r="L30" s="62">
        <f>98304+4430.04+1038.15</f>
        <v>103772.18999999999</v>
      </c>
      <c r="M30" s="343">
        <v>30355.200000000001</v>
      </c>
      <c r="N30" s="344"/>
      <c r="O30" s="62">
        <f>Q30+S30</f>
        <v>50514.37</v>
      </c>
      <c r="P30" s="100">
        <f>0</f>
        <v>0</v>
      </c>
      <c r="Q30" s="355">
        <v>50514.37</v>
      </c>
      <c r="R30" s="35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v>64634.74</v>
      </c>
      <c r="M31" s="85"/>
      <c r="N31" s="38">
        <v>28220</v>
      </c>
      <c r="O31" s="62">
        <f>Q31+S31</f>
        <v>29095.119999999999</v>
      </c>
      <c r="P31" s="100">
        <f>0</f>
        <v>0</v>
      </c>
      <c r="Q31" s="355">
        <v>29095.119999999999</v>
      </c>
      <c r="R31" s="356"/>
      <c r="S31" s="3">
        <v>0</v>
      </c>
    </row>
    <row r="32" spans="1:61" ht="26.25" customHeight="1" x14ac:dyDescent="0.2">
      <c r="A32" s="431" t="s">
        <v>94</v>
      </c>
      <c r="B32" s="432"/>
      <c r="C32" s="154">
        <f>SUM(C30:C31)</f>
        <v>1676.7</v>
      </c>
      <c r="D32" s="153"/>
      <c r="E32" s="154"/>
      <c r="F32" s="153"/>
      <c r="G32" s="153"/>
      <c r="H32" s="153"/>
      <c r="I32" s="155">
        <f>SUM(I30:I31)</f>
        <v>188292</v>
      </c>
      <c r="J32" s="155">
        <f>SUM(I32)</f>
        <v>188292</v>
      </c>
      <c r="K32" s="153"/>
      <c r="L32" s="156">
        <f>SUM(L30:L31)</f>
        <v>168406.93</v>
      </c>
      <c r="M32" s="156">
        <f>SUM(M30:M31)</f>
        <v>30355.200000000001</v>
      </c>
      <c r="N32" s="156">
        <f>SUM(N30:N31)</f>
        <v>28220</v>
      </c>
      <c r="O32" s="157">
        <f>SUM(O30:O31)</f>
        <v>79609.490000000005</v>
      </c>
      <c r="P32" s="158">
        <f>SUM(P30:P31)</f>
        <v>0</v>
      </c>
      <c r="Q32" s="452">
        <f>Q26+Q30+Q31</f>
        <v>400000</v>
      </c>
      <c r="R32" s="453"/>
      <c r="S32" s="22">
        <f>SUM(S30:S31)</f>
        <v>0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213"/>
      <c r="O33" s="144"/>
      <c r="P33" s="145"/>
      <c r="Q33" s="454">
        <v>400000</v>
      </c>
      <c r="R33" s="454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213"/>
      <c r="O34" s="144"/>
      <c r="P34" s="145"/>
      <c r="Q34" s="454">
        <f>Q26+Q30+Q31</f>
        <v>400000</v>
      </c>
      <c r="R34" s="454"/>
      <c r="S34" s="100"/>
    </row>
    <row r="35" spans="1:19" ht="41.25" customHeight="1" x14ac:dyDescent="0.2">
      <c r="A35" s="449" t="s">
        <v>27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1"/>
    </row>
    <row r="36" spans="1:19" s="101" customFormat="1" ht="80.25" customHeight="1" x14ac:dyDescent="0.2">
      <c r="A36" s="14">
        <v>1</v>
      </c>
      <c r="B36" s="15" t="s">
        <v>52</v>
      </c>
      <c r="C36" s="341">
        <v>581</v>
      </c>
      <c r="D36" s="342"/>
      <c r="E36" s="16" t="s">
        <v>39</v>
      </c>
      <c r="F36" s="61" t="s">
        <v>76</v>
      </c>
      <c r="G36" s="61" t="s">
        <v>76</v>
      </c>
      <c r="H36" s="73" t="s">
        <v>7</v>
      </c>
      <c r="I36" s="341">
        <v>1973.18</v>
      </c>
      <c r="J36" s="342"/>
      <c r="K36" s="98"/>
      <c r="L36" s="341">
        <v>1973.18</v>
      </c>
      <c r="M36" s="342"/>
      <c r="N36" s="22">
        <v>0</v>
      </c>
      <c r="O36" s="62">
        <v>1973.18</v>
      </c>
      <c r="P36" s="62">
        <f>0</f>
        <v>0</v>
      </c>
      <c r="Q36" s="343">
        <f>0</f>
        <v>0</v>
      </c>
      <c r="R36" s="344"/>
      <c r="S36" s="62"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55">
        <v>2028.02</v>
      </c>
      <c r="J37" s="356"/>
      <c r="K37" s="18">
        <v>0.9</v>
      </c>
      <c r="L37" s="3">
        <f>O37</f>
        <v>2028.02</v>
      </c>
      <c r="M37" s="355">
        <v>0</v>
      </c>
      <c r="N37" s="356"/>
      <c r="O37" s="3">
        <f>'[1]Подрядный способ'!$J$5</f>
        <v>2028.02</v>
      </c>
      <c r="P37" s="100">
        <f>0</f>
        <v>0</v>
      </c>
      <c r="Q37" s="343">
        <f>0</f>
        <v>0</v>
      </c>
      <c r="R37" s="344"/>
      <c r="S37" s="3">
        <f>O37</f>
        <v>2028.02</v>
      </c>
    </row>
    <row r="38" spans="1:19" s="101" customFormat="1" ht="65.25" customHeight="1" x14ac:dyDescent="0.3">
      <c r="A38" s="14">
        <v>3</v>
      </c>
      <c r="B38" s="15" t="s">
        <v>54</v>
      </c>
      <c r="C38" s="16">
        <v>903</v>
      </c>
      <c r="D38" s="341" t="s">
        <v>39</v>
      </c>
      <c r="E38" s="342"/>
      <c r="F38" s="61" t="s">
        <v>76</v>
      </c>
      <c r="G38" s="341" t="s">
        <v>13</v>
      </c>
      <c r="H38" s="342"/>
      <c r="I38" s="355">
        <v>2327.06</v>
      </c>
      <c r="J38" s="356"/>
      <c r="K38" s="18">
        <v>0.9</v>
      </c>
      <c r="L38" s="3">
        <f>O38</f>
        <v>2327.06</v>
      </c>
      <c r="M38" s="355">
        <v>0</v>
      </c>
      <c r="N38" s="356"/>
      <c r="O38" s="3">
        <f>'[1]Подрядный способ'!$J$6</f>
        <v>2327.06</v>
      </c>
      <c r="P38" s="100">
        <f>0</f>
        <v>0</v>
      </c>
      <c r="Q38" s="343">
        <f>0</f>
        <v>0</v>
      </c>
      <c r="R38" s="344"/>
      <c r="S38" s="3">
        <f>O38</f>
        <v>2327.06</v>
      </c>
    </row>
    <row r="39" spans="1:19" ht="38.25" customHeight="1" x14ac:dyDescent="0.3">
      <c r="A39" s="4"/>
      <c r="B39" s="159" t="s">
        <v>92</v>
      </c>
      <c r="C39" s="32"/>
      <c r="D39" s="33"/>
      <c r="E39" s="33"/>
      <c r="F39" s="33"/>
      <c r="G39" s="33"/>
      <c r="H39" s="33"/>
      <c r="I39" s="433">
        <f>SUM(I36:J38)</f>
        <v>6328.26</v>
      </c>
      <c r="J39" s="434"/>
      <c r="K39" s="36"/>
      <c r="L39" s="37">
        <f>SUM(L36:L38)</f>
        <v>6328.26</v>
      </c>
      <c r="M39" s="433">
        <f>SUM(M36:N38)</f>
        <v>0</v>
      </c>
      <c r="N39" s="434"/>
      <c r="O39" s="37">
        <f>P39+Q39+S39</f>
        <v>6328.26</v>
      </c>
      <c r="P39" s="66">
        <f>SUM(P26:P38)</f>
        <v>0</v>
      </c>
      <c r="Q39" s="376">
        <f>SUM(Q36:R38)</f>
        <v>0</v>
      </c>
      <c r="R39" s="455"/>
      <c r="S39" s="37">
        <f>SUM(S36:S38)</f>
        <v>6328.26</v>
      </c>
    </row>
    <row r="40" spans="1:19" ht="42" hidden="1" customHeight="1" x14ac:dyDescent="0.3">
      <c r="A40" s="4"/>
      <c r="B40" s="6" t="s">
        <v>46</v>
      </c>
      <c r="C40" s="32"/>
      <c r="D40" s="33"/>
      <c r="E40" s="33"/>
      <c r="F40" s="33"/>
      <c r="G40" s="33"/>
      <c r="H40" s="33"/>
      <c r="I40" s="197"/>
      <c r="J40" s="198"/>
      <c r="K40" s="201"/>
      <c r="L40" s="3"/>
      <c r="M40" s="34"/>
      <c r="N40" s="38"/>
      <c r="O40" s="37"/>
      <c r="P40" s="66"/>
      <c r="Q40" s="65"/>
      <c r="R40" s="35"/>
      <c r="S40" s="37">
        <f>S39</f>
        <v>6328.26</v>
      </c>
    </row>
    <row r="41" spans="1:19" ht="0.75" hidden="1" customHeight="1" x14ac:dyDescent="0.2">
      <c r="A41" s="337" t="s">
        <v>28</v>
      </c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9"/>
    </row>
    <row r="42" spans="1:19" s="43" customFormat="1" ht="75.75" hidden="1" customHeight="1" x14ac:dyDescent="0.2">
      <c r="A42" s="8" t="s">
        <v>41</v>
      </c>
      <c r="B42" s="63" t="s">
        <v>41</v>
      </c>
      <c r="C42" s="44" t="s">
        <v>41</v>
      </c>
      <c r="D42" s="8"/>
      <c r="E42" s="8" t="s">
        <v>41</v>
      </c>
      <c r="F42" s="8" t="s">
        <v>41</v>
      </c>
      <c r="G42" s="8"/>
      <c r="H42" s="8" t="s">
        <v>41</v>
      </c>
      <c r="I42" s="197" t="s">
        <v>41</v>
      </c>
      <c r="J42" s="198"/>
      <c r="K42" s="198"/>
      <c r="L42" s="3" t="s">
        <v>41</v>
      </c>
      <c r="M42" s="68"/>
      <c r="N42" s="38" t="s">
        <v>41</v>
      </c>
      <c r="O42" s="40" t="s">
        <v>41</v>
      </c>
      <c r="P42" s="41" t="s">
        <v>41</v>
      </c>
      <c r="Q42" s="42" t="s">
        <v>41</v>
      </c>
      <c r="R42" s="64"/>
      <c r="S42" s="68" t="s">
        <v>41</v>
      </c>
    </row>
    <row r="43" spans="1:19" s="43" customFormat="1" ht="33.7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214"/>
      <c r="O43" s="19"/>
      <c r="P43" s="19"/>
      <c r="Q43" s="19"/>
      <c r="R43" s="19"/>
      <c r="S43" s="19"/>
    </row>
    <row r="44" spans="1:19" ht="46.5" hidden="1" customHeight="1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214"/>
      <c r="O44" s="19"/>
      <c r="P44" s="19"/>
      <c r="Q44" s="19"/>
      <c r="R44" s="19"/>
      <c r="S44" s="19"/>
    </row>
    <row r="45" spans="1:19" ht="37.5" customHeight="1" x14ac:dyDescent="0.2">
      <c r="A45" s="425" t="s">
        <v>51</v>
      </c>
      <c r="B45" s="426"/>
      <c r="C45" s="426"/>
      <c r="D45" s="426"/>
      <c r="E45" s="426"/>
      <c r="F45" s="426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426"/>
      <c r="R45" s="426"/>
      <c r="S45" s="427"/>
    </row>
    <row r="46" spans="1:19" ht="60.75" customHeight="1" x14ac:dyDescent="0.2">
      <c r="A46" s="14" t="s">
        <v>71</v>
      </c>
      <c r="B46" s="59" t="s">
        <v>10</v>
      </c>
      <c r="C46" s="129">
        <v>1717</v>
      </c>
      <c r="D46" s="73"/>
      <c r="E46" s="129"/>
      <c r="F46" s="340" t="s">
        <v>74</v>
      </c>
      <c r="G46" s="334"/>
      <c r="H46" s="73" t="s">
        <v>75</v>
      </c>
      <c r="I46" s="341"/>
      <c r="J46" s="342"/>
      <c r="K46" s="98"/>
      <c r="L46" s="341"/>
      <c r="M46" s="342"/>
      <c r="N46" s="22">
        <v>0</v>
      </c>
      <c r="O46" s="62">
        <v>10000</v>
      </c>
      <c r="P46" s="62">
        <v>0</v>
      </c>
      <c r="Q46" s="343">
        <v>0</v>
      </c>
      <c r="R46" s="344"/>
      <c r="S46" s="62">
        <f>O46</f>
        <v>10000</v>
      </c>
    </row>
    <row r="47" spans="1:19" ht="63.75" customHeight="1" x14ac:dyDescent="0.2">
      <c r="A47" s="14">
        <v>2</v>
      </c>
      <c r="B47" s="59" t="s">
        <v>55</v>
      </c>
      <c r="C47" s="129">
        <v>1206</v>
      </c>
      <c r="D47" s="73"/>
      <c r="E47" s="129"/>
      <c r="F47" s="340" t="s">
        <v>12</v>
      </c>
      <c r="G47" s="334"/>
      <c r="H47" s="73" t="s">
        <v>7</v>
      </c>
      <c r="I47" s="341"/>
      <c r="J47" s="342"/>
      <c r="K47" s="61"/>
      <c r="L47" s="341"/>
      <c r="M47" s="342"/>
      <c r="N47" s="22">
        <v>0</v>
      </c>
      <c r="O47" s="62">
        <v>10000</v>
      </c>
      <c r="P47" s="62">
        <f>0</f>
        <v>0</v>
      </c>
      <c r="Q47" s="343">
        <f>0</f>
        <v>0</v>
      </c>
      <c r="R47" s="344"/>
      <c r="S47" s="62">
        <v>10000</v>
      </c>
    </row>
    <row r="48" spans="1:19" ht="62.25" customHeight="1" x14ac:dyDescent="0.2">
      <c r="A48" s="14">
        <v>3</v>
      </c>
      <c r="B48" s="54" t="s">
        <v>83</v>
      </c>
      <c r="C48" s="129">
        <v>514</v>
      </c>
      <c r="D48" s="73"/>
      <c r="E48" s="129"/>
      <c r="F48" s="340" t="s">
        <v>86</v>
      </c>
      <c r="G48" s="334"/>
      <c r="H48" s="73" t="s">
        <v>13</v>
      </c>
      <c r="I48" s="341"/>
      <c r="J48" s="342"/>
      <c r="K48" s="61"/>
      <c r="L48" s="341"/>
      <c r="M48" s="342"/>
      <c r="N48" s="22">
        <v>0</v>
      </c>
      <c r="O48" s="62">
        <f t="shared" ref="O48:O53" si="0">S48</f>
        <v>10000</v>
      </c>
      <c r="P48" s="62">
        <f>0</f>
        <v>0</v>
      </c>
      <c r="Q48" s="343">
        <f>0</f>
        <v>0</v>
      </c>
      <c r="R48" s="344"/>
      <c r="S48" s="62">
        <v>10000</v>
      </c>
    </row>
    <row r="49" spans="1:19" ht="60.75" customHeight="1" x14ac:dyDescent="0.2">
      <c r="A49" s="14">
        <v>4</v>
      </c>
      <c r="B49" s="59" t="s">
        <v>93</v>
      </c>
      <c r="C49" s="16">
        <v>365</v>
      </c>
      <c r="D49" s="73"/>
      <c r="E49" s="129"/>
      <c r="F49" s="340" t="s">
        <v>12</v>
      </c>
      <c r="G49" s="334"/>
      <c r="H49" s="73" t="s">
        <v>7</v>
      </c>
      <c r="I49" s="341"/>
      <c r="J49" s="342"/>
      <c r="K49" s="61"/>
      <c r="L49" s="345"/>
      <c r="M49" s="345"/>
      <c r="N49" s="22">
        <v>0</v>
      </c>
      <c r="O49" s="62">
        <f t="shared" si="0"/>
        <v>10000</v>
      </c>
      <c r="P49" s="62">
        <f>0</f>
        <v>0</v>
      </c>
      <c r="Q49" s="343">
        <f>0</f>
        <v>0</v>
      </c>
      <c r="R49" s="344"/>
      <c r="S49" s="62">
        <v>10000</v>
      </c>
    </row>
    <row r="50" spans="1:19" ht="60.75" customHeight="1" x14ac:dyDescent="0.2">
      <c r="A50" s="14">
        <v>5</v>
      </c>
      <c r="B50" s="59" t="s">
        <v>57</v>
      </c>
      <c r="C50" s="129">
        <v>697</v>
      </c>
      <c r="D50" s="73"/>
      <c r="E50" s="129"/>
      <c r="F50" s="340" t="s">
        <v>12</v>
      </c>
      <c r="G50" s="334"/>
      <c r="H50" s="73" t="s">
        <v>7</v>
      </c>
      <c r="I50" s="341"/>
      <c r="J50" s="342"/>
      <c r="K50" s="61"/>
      <c r="L50" s="341"/>
      <c r="M50" s="342"/>
      <c r="N50" s="22">
        <v>0</v>
      </c>
      <c r="O50" s="62">
        <f t="shared" si="0"/>
        <v>10000</v>
      </c>
      <c r="P50" s="62">
        <f>0</f>
        <v>0</v>
      </c>
      <c r="Q50" s="343">
        <f>0</f>
        <v>0</v>
      </c>
      <c r="R50" s="344"/>
      <c r="S50" s="62">
        <v>10000</v>
      </c>
    </row>
    <row r="51" spans="1:19" ht="60.75" customHeight="1" x14ac:dyDescent="0.2">
      <c r="A51" s="14">
        <v>6</v>
      </c>
      <c r="B51" s="55" t="s">
        <v>79</v>
      </c>
      <c r="C51" s="129">
        <v>767</v>
      </c>
      <c r="D51" s="73"/>
      <c r="E51" s="129"/>
      <c r="F51" s="340" t="s">
        <v>74</v>
      </c>
      <c r="G51" s="334"/>
      <c r="H51" s="73" t="s">
        <v>75</v>
      </c>
      <c r="I51" s="61"/>
      <c r="J51" s="61"/>
      <c r="K51" s="61"/>
      <c r="L51" s="61"/>
      <c r="M51" s="61"/>
      <c r="N51" s="22">
        <v>0</v>
      </c>
      <c r="O51" s="62">
        <f t="shared" si="0"/>
        <v>11000</v>
      </c>
      <c r="P51" s="62">
        <f>0</f>
        <v>0</v>
      </c>
      <c r="Q51" s="343">
        <f>0</f>
        <v>0</v>
      </c>
      <c r="R51" s="344"/>
      <c r="S51" s="62">
        <v>11000</v>
      </c>
    </row>
    <row r="52" spans="1:19" ht="60.75" customHeight="1" x14ac:dyDescent="0.2">
      <c r="A52" s="14">
        <v>7</v>
      </c>
      <c r="B52" s="56" t="s">
        <v>78</v>
      </c>
      <c r="C52" s="129">
        <v>610</v>
      </c>
      <c r="D52" s="73"/>
      <c r="E52" s="129"/>
      <c r="F52" s="340" t="s">
        <v>74</v>
      </c>
      <c r="G52" s="334"/>
      <c r="H52" s="73" t="s">
        <v>75</v>
      </c>
      <c r="I52" s="61"/>
      <c r="J52" s="61"/>
      <c r="K52" s="61"/>
      <c r="L52" s="61"/>
      <c r="M52" s="61"/>
      <c r="N52" s="22">
        <v>0</v>
      </c>
      <c r="O52" s="62">
        <f t="shared" si="0"/>
        <v>10000</v>
      </c>
      <c r="P52" s="62">
        <f>0</f>
        <v>0</v>
      </c>
      <c r="Q52" s="343">
        <f>0</f>
        <v>0</v>
      </c>
      <c r="R52" s="344"/>
      <c r="S52" s="62">
        <v>10000</v>
      </c>
    </row>
    <row r="53" spans="1:19" ht="60.75" customHeight="1" x14ac:dyDescent="0.2">
      <c r="A53" s="14">
        <v>8</v>
      </c>
      <c r="B53" s="55" t="s">
        <v>58</v>
      </c>
      <c r="C53" s="129">
        <v>601</v>
      </c>
      <c r="D53" s="73"/>
      <c r="E53" s="129"/>
      <c r="F53" s="340" t="s">
        <v>74</v>
      </c>
      <c r="G53" s="334"/>
      <c r="H53" s="73" t="s">
        <v>75</v>
      </c>
      <c r="I53" s="61"/>
      <c r="J53" s="61"/>
      <c r="K53" s="61"/>
      <c r="L53" s="61"/>
      <c r="M53" s="61"/>
      <c r="N53" s="22">
        <v>0</v>
      </c>
      <c r="O53" s="62">
        <f t="shared" si="0"/>
        <v>12000</v>
      </c>
      <c r="P53" s="62">
        <f>0</f>
        <v>0</v>
      </c>
      <c r="Q53" s="343">
        <f>0</f>
        <v>0</v>
      </c>
      <c r="R53" s="344"/>
      <c r="S53" s="62">
        <v>12000</v>
      </c>
    </row>
    <row r="54" spans="1:19" ht="36.75" customHeight="1" x14ac:dyDescent="0.2">
      <c r="A54" s="14">
        <v>9</v>
      </c>
      <c r="B54" s="119" t="s">
        <v>38</v>
      </c>
      <c r="C54" s="130">
        <v>1329</v>
      </c>
      <c r="D54" s="404"/>
      <c r="E54" s="405"/>
      <c r="F54" s="73" t="s">
        <v>11</v>
      </c>
      <c r="G54" s="359" t="s">
        <v>47</v>
      </c>
      <c r="H54" s="360"/>
      <c r="I54" s="355"/>
      <c r="J54" s="356"/>
      <c r="K54" s="93">
        <v>0.9</v>
      </c>
      <c r="L54" s="94"/>
      <c r="M54" s="361">
        <v>0</v>
      </c>
      <c r="N54" s="362"/>
      <c r="O54" s="117">
        <f>1889.55</f>
        <v>1889.55</v>
      </c>
      <c r="P54" s="52">
        <v>0</v>
      </c>
      <c r="Q54" s="363">
        <v>0</v>
      </c>
      <c r="R54" s="364"/>
      <c r="S54" s="3">
        <v>1889.55</v>
      </c>
    </row>
    <row r="55" spans="1:19" ht="58.5" customHeight="1" x14ac:dyDescent="0.2">
      <c r="A55" s="14">
        <v>10</v>
      </c>
      <c r="B55" s="55" t="s">
        <v>80</v>
      </c>
      <c r="C55" s="129">
        <v>775</v>
      </c>
      <c r="D55" s="73"/>
      <c r="E55" s="129"/>
      <c r="F55" s="340" t="s">
        <v>8</v>
      </c>
      <c r="G55" s="334"/>
      <c r="H55" s="73" t="s">
        <v>12</v>
      </c>
      <c r="I55" s="61"/>
      <c r="J55" s="61"/>
      <c r="K55" s="61"/>
      <c r="L55" s="61"/>
      <c r="M55" s="61"/>
      <c r="N55" s="22">
        <v>0</v>
      </c>
      <c r="O55" s="62">
        <v>11000</v>
      </c>
      <c r="P55" s="62">
        <v>0</v>
      </c>
      <c r="Q55" s="343">
        <v>0</v>
      </c>
      <c r="R55" s="344"/>
      <c r="S55" s="62">
        <v>12000</v>
      </c>
    </row>
    <row r="56" spans="1:19" ht="34.5" customHeight="1" x14ac:dyDescent="0.2">
      <c r="A56" s="4"/>
      <c r="B56" s="160" t="s">
        <v>105</v>
      </c>
      <c r="C56" s="161">
        <f>SUM(C46:C55)</f>
        <v>8581</v>
      </c>
      <c r="D56" s="162"/>
      <c r="E56" s="161"/>
      <c r="F56" s="162"/>
      <c r="G56" s="162"/>
      <c r="H56" s="162"/>
      <c r="I56" s="162"/>
      <c r="J56" s="162"/>
      <c r="K56" s="162"/>
      <c r="L56" s="162"/>
      <c r="M56" s="162"/>
      <c r="N56" s="22">
        <f>SUM(N46:N55)</f>
        <v>0</v>
      </c>
      <c r="O56" s="22">
        <f>SUM(O46:O55)</f>
        <v>95889.55</v>
      </c>
      <c r="P56" s="22">
        <f>SUM(P46:P55)</f>
        <v>0</v>
      </c>
      <c r="Q56" s="376">
        <f>SUM(Q46:R55)</f>
        <v>0</v>
      </c>
      <c r="R56" s="377"/>
      <c r="S56" s="22">
        <f>SUM(S46:S55)</f>
        <v>96889.55</v>
      </c>
    </row>
    <row r="57" spans="1:19" ht="39.75" customHeight="1" x14ac:dyDescent="0.2">
      <c r="A57" s="449" t="s">
        <v>29</v>
      </c>
      <c r="B57" s="450"/>
      <c r="C57" s="450"/>
      <c r="D57" s="450"/>
      <c r="E57" s="450"/>
      <c r="F57" s="450"/>
      <c r="G57" s="450"/>
      <c r="H57" s="450"/>
      <c r="I57" s="450"/>
      <c r="J57" s="450"/>
      <c r="K57" s="450"/>
      <c r="L57" s="450"/>
      <c r="M57" s="450"/>
      <c r="N57" s="450"/>
      <c r="O57" s="450"/>
      <c r="P57" s="450"/>
      <c r="Q57" s="450"/>
      <c r="R57" s="450"/>
      <c r="S57" s="451"/>
    </row>
    <row r="58" spans="1:19" ht="51" customHeight="1" x14ac:dyDescent="0.2">
      <c r="A58" s="8"/>
      <c r="B58" s="48" t="s">
        <v>91</v>
      </c>
      <c r="C58" s="326"/>
      <c r="D58" s="327"/>
      <c r="E58" s="44"/>
      <c r="F58" s="326"/>
      <c r="G58" s="327"/>
      <c r="H58" s="8"/>
      <c r="I58" s="385"/>
      <c r="J58" s="384"/>
      <c r="K58" s="11"/>
      <c r="L58" s="326"/>
      <c r="M58" s="327"/>
      <c r="N58" s="39"/>
      <c r="O58" s="8"/>
      <c r="P58" s="8"/>
      <c r="Q58" s="326"/>
      <c r="R58" s="327"/>
      <c r="S58" s="49">
        <f>I26-L26</f>
        <v>30713.951079999795</v>
      </c>
    </row>
    <row r="59" spans="1:19" ht="45" customHeight="1" x14ac:dyDescent="0.2">
      <c r="A59" s="4"/>
      <c r="B59" s="6" t="s">
        <v>102</v>
      </c>
      <c r="C59" s="407"/>
      <c r="D59" s="408"/>
      <c r="E59" s="5"/>
      <c r="F59" s="407"/>
      <c r="G59" s="408"/>
      <c r="H59" s="4"/>
      <c r="I59" s="433">
        <f>I26+I39+I56</f>
        <v>1085125.18</v>
      </c>
      <c r="J59" s="434"/>
      <c r="K59" s="61"/>
      <c r="L59" s="433">
        <f>L26+L39+L56</f>
        <v>1054411.2289200001</v>
      </c>
      <c r="M59" s="434"/>
      <c r="N59" s="22">
        <f>M26</f>
        <v>178625.93</v>
      </c>
      <c r="O59" s="22">
        <f>O26+O39+O56</f>
        <v>803660.12000000011</v>
      </c>
      <c r="P59" s="22">
        <f>P26+P39+P56</f>
        <v>0</v>
      </c>
      <c r="Q59" s="376">
        <f>Q32</f>
        <v>400000</v>
      </c>
      <c r="R59" s="377"/>
      <c r="S59" s="22">
        <f>S26+S39+S56</f>
        <v>484269.61</v>
      </c>
    </row>
    <row r="60" spans="1:19" ht="31.5" customHeight="1" x14ac:dyDescent="0.2">
      <c r="A60" s="105"/>
      <c r="B60" s="59" t="s">
        <v>101</v>
      </c>
      <c r="C60" s="107"/>
      <c r="D60" s="108"/>
      <c r="E60" s="106"/>
      <c r="F60" s="107"/>
      <c r="G60" s="108"/>
      <c r="H60" s="105"/>
      <c r="I60" s="202"/>
      <c r="J60" s="203"/>
      <c r="K60" s="54"/>
      <c r="L60" s="204"/>
      <c r="M60" s="113"/>
      <c r="N60" s="156"/>
      <c r="O60" s="115"/>
      <c r="P60" s="116"/>
      <c r="Q60" s="346"/>
      <c r="R60" s="346"/>
      <c r="S60" s="62">
        <v>258297.66</v>
      </c>
    </row>
    <row r="61" spans="1:19" ht="29.25" customHeight="1" x14ac:dyDescent="0.3">
      <c r="A61" s="193"/>
      <c r="B61" s="205" t="s">
        <v>103</v>
      </c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456"/>
      <c r="R61" s="457"/>
      <c r="S61" s="207">
        <f>S59+S60</f>
        <v>742567.27</v>
      </c>
    </row>
    <row r="63" spans="1:19" ht="25.5" x14ac:dyDescent="0.35">
      <c r="B63" s="147" t="s">
        <v>100</v>
      </c>
      <c r="C63" s="147"/>
      <c r="D63" s="147"/>
      <c r="E63" s="147"/>
      <c r="F63" s="147"/>
      <c r="G63" s="147"/>
      <c r="H63" s="147" t="s">
        <v>95</v>
      </c>
      <c r="I63" s="147"/>
      <c r="J63" s="147"/>
      <c r="K63" s="147"/>
      <c r="L63" s="147"/>
      <c r="M63" s="148"/>
      <c r="N63" s="215"/>
      <c r="P63" s="23"/>
      <c r="Q63" s="23"/>
      <c r="S63" s="21"/>
    </row>
    <row r="64" spans="1:19" x14ac:dyDescent="0.2"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215"/>
    </row>
    <row r="65" spans="2:14" x14ac:dyDescent="0.2"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215"/>
    </row>
    <row r="66" spans="2:14" ht="20.25" x14ac:dyDescent="0.3">
      <c r="B66" s="147" t="s">
        <v>96</v>
      </c>
      <c r="C66" s="147"/>
      <c r="D66" s="147"/>
      <c r="E66" s="147"/>
      <c r="F66" s="147"/>
      <c r="G66" s="147"/>
      <c r="H66" s="147" t="s">
        <v>45</v>
      </c>
      <c r="I66" s="147"/>
      <c r="J66" s="147"/>
      <c r="K66" s="147"/>
      <c r="L66" s="147"/>
      <c r="M66" s="147"/>
      <c r="N66" s="216"/>
    </row>
    <row r="67" spans="2:14" x14ac:dyDescent="0.2"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215"/>
    </row>
    <row r="68" spans="2:14" x14ac:dyDescent="0.2"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215"/>
    </row>
  </sheetData>
  <mergeCells count="141">
    <mergeCell ref="Q61:R61"/>
    <mergeCell ref="C59:D59"/>
    <mergeCell ref="F59:G59"/>
    <mergeCell ref="I59:J59"/>
    <mergeCell ref="L59:M59"/>
    <mergeCell ref="Q59:R59"/>
    <mergeCell ref="Q60:R60"/>
    <mergeCell ref="Q56:R56"/>
    <mergeCell ref="A57:S57"/>
    <mergeCell ref="C58:D58"/>
    <mergeCell ref="F58:G58"/>
    <mergeCell ref="I58:J58"/>
    <mergeCell ref="L58:M58"/>
    <mergeCell ref="Q58:R58"/>
    <mergeCell ref="D54:E54"/>
    <mergeCell ref="G54:H54"/>
    <mergeCell ref="I54:J54"/>
    <mergeCell ref="M54:N54"/>
    <mergeCell ref="Q54:R54"/>
    <mergeCell ref="F55:G55"/>
    <mergeCell ref="Q55:R55"/>
    <mergeCell ref="F51:G51"/>
    <mergeCell ref="Q51:R51"/>
    <mergeCell ref="F52:G52"/>
    <mergeCell ref="Q52:R52"/>
    <mergeCell ref="F53:G53"/>
    <mergeCell ref="Q53:R53"/>
    <mergeCell ref="F49:G49"/>
    <mergeCell ref="I49:J49"/>
    <mergeCell ref="L49:M49"/>
    <mergeCell ref="Q49:R49"/>
    <mergeCell ref="F50:G50"/>
    <mergeCell ref="I50:J50"/>
    <mergeCell ref="L50:M50"/>
    <mergeCell ref="Q50:R50"/>
    <mergeCell ref="F47:G47"/>
    <mergeCell ref="I47:J47"/>
    <mergeCell ref="L47:M47"/>
    <mergeCell ref="Q47:R47"/>
    <mergeCell ref="F48:G48"/>
    <mergeCell ref="I48:J48"/>
    <mergeCell ref="L48:M48"/>
    <mergeCell ref="Q48:R48"/>
    <mergeCell ref="A41:S41"/>
    <mergeCell ref="A45:S45"/>
    <mergeCell ref="F46:G46"/>
    <mergeCell ref="I46:J46"/>
    <mergeCell ref="L46:M46"/>
    <mergeCell ref="Q46:R46"/>
    <mergeCell ref="D38:E38"/>
    <mergeCell ref="G38:H38"/>
    <mergeCell ref="I38:J38"/>
    <mergeCell ref="M38:N38"/>
    <mergeCell ref="Q38:R38"/>
    <mergeCell ref="I39:J39"/>
    <mergeCell ref="M39:N39"/>
    <mergeCell ref="Q39:R39"/>
    <mergeCell ref="A35:S35"/>
    <mergeCell ref="C36:D36"/>
    <mergeCell ref="I36:J36"/>
    <mergeCell ref="L36:M36"/>
    <mergeCell ref="Q36:R36"/>
    <mergeCell ref="I37:J37"/>
    <mergeCell ref="M37:N37"/>
    <mergeCell ref="Q37:R37"/>
    <mergeCell ref="B29:S29"/>
    <mergeCell ref="I30:J30"/>
    <mergeCell ref="M30:N30"/>
    <mergeCell ref="Q30:R30"/>
    <mergeCell ref="Q31:R31"/>
    <mergeCell ref="A32:B32"/>
    <mergeCell ref="Q32:R32"/>
    <mergeCell ref="Q33:R33"/>
    <mergeCell ref="Q34:R34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</mergeCells>
  <pageMargins left="0" right="0" top="0" bottom="0" header="0" footer="0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CA40"/>
  <sheetViews>
    <sheetView topLeftCell="A7" zoomScale="69" zoomScaleNormal="69" zoomScalePageLayoutView="60" workbookViewId="0">
      <selection activeCell="A7" sqref="A7:T37"/>
    </sheetView>
  </sheetViews>
  <sheetFormatPr defaultColWidth="9.140625" defaultRowHeight="12.75" x14ac:dyDescent="0.2"/>
  <cols>
    <col min="1" max="1" width="11.42578125" style="230" customWidth="1"/>
    <col min="2" max="2" width="122.28515625" customWidth="1"/>
    <col min="3" max="3" width="12.5703125" customWidth="1"/>
    <col min="4" max="4" width="11.7109375" hidden="1" customWidth="1"/>
    <col min="5" max="5" width="11.85546875" hidden="1" customWidth="1"/>
    <col min="6" max="6" width="15.28515625" hidden="1" customWidth="1"/>
    <col min="7" max="7" width="24.85546875" hidden="1" customWidth="1"/>
    <col min="8" max="8" width="13.42578125" hidden="1" customWidth="1"/>
    <col min="9" max="9" width="20.7109375" customWidth="1"/>
    <col min="10" max="10" width="30" customWidth="1"/>
    <col min="11" max="11" width="0.28515625" hidden="1" customWidth="1"/>
    <col min="12" max="12" width="6" hidden="1" customWidth="1"/>
    <col min="13" max="13" width="22" hidden="1" customWidth="1"/>
    <col min="14" max="14" width="6.28515625" hidden="1" customWidth="1"/>
    <col min="15" max="15" width="14.85546875" hidden="1" customWidth="1"/>
    <col min="16" max="16" width="18.140625" hidden="1" customWidth="1"/>
    <col min="17" max="17" width="20" hidden="1" customWidth="1"/>
    <col min="18" max="18" width="14" hidden="1" customWidth="1"/>
    <col min="19" max="19" width="5" hidden="1" customWidth="1"/>
    <col min="20" max="20" width="42" customWidth="1"/>
    <col min="21" max="21" width="2.7109375" customWidth="1"/>
    <col min="22" max="22" width="33.140625" customWidth="1"/>
  </cols>
  <sheetData>
    <row r="1" spans="1:16303" ht="18.75" hidden="1" x14ac:dyDescent="0.3">
      <c r="A1" s="227"/>
      <c r="B1" s="163"/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3"/>
      <c r="O1" s="164"/>
      <c r="P1" s="165"/>
      <c r="Q1" s="164" t="s">
        <v>33</v>
      </c>
      <c r="R1" s="16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1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1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1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1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1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1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1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1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1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1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1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1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1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1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1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1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1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1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1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1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1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1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1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1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1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1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1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1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1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1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1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1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1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1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1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1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1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1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1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1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1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1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1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1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1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1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1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1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1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1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1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1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1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1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1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1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1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1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1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1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1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1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1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1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1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1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1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1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1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1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1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1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1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1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1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1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1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1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1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1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1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1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1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1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1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1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1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1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1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1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1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1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1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1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1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1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1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1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1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1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1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1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1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1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1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1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1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1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1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1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1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1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1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1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1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1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1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1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1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1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1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1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1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1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1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1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1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1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1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1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1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1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1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1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1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1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1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1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1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1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1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1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1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1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1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1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1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1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1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1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1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1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1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1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1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1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1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1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1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1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1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1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1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1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1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1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1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1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1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1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1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1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1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1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1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1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1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1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1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1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1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1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1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1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1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1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1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1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1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1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1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1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1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1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1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1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1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1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1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1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1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1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1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1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1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1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1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1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1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1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1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1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1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1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1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1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1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1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1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1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1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1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1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1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1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1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1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1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1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1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1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1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1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1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1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1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1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1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1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1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1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1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1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1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1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1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1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1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1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1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1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1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1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1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1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1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1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1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1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1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1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1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1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1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1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1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1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1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1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1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1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1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1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1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1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1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1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1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1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1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1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1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1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1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1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1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1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1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1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1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1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1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1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1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1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1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1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1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1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1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1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1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1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1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1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1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1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1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1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1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1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1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1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1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1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1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1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1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1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1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1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1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1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1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1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1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1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1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1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1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1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1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1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1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1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1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1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1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1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1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1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1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1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1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1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1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1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1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1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1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1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1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1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1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1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1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1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1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1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1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1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1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1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1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1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1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1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1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1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1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1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1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1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1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1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1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1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1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1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1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1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1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1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1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1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1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1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1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1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1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1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1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1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1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1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1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1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1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1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1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1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1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1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1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1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1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1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1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1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1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1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1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1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1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1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1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1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1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1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1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1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1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1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1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1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1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1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1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1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1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1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1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1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1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1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1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1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1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1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1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1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1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1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1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1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1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1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1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1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1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1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1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1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1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1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1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1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1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1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1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1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1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1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1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1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1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1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1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1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1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1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1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1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1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1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1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1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1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1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1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1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1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1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1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1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1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1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1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1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1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1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1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1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1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1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1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1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1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1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1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1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1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1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1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1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1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1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1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1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1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1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1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1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1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1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1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1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1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1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1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1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1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1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1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1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1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1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1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1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1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1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1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1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1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1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1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1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1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1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1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1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1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1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1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1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1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1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1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1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1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1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1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1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1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1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1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1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1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1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1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1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1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1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1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1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1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1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1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1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1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1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1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1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1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1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1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1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1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1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1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1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1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1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1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1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1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1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1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1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1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1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1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1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1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1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1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1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1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1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1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1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1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1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1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1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1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1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1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1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1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1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1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1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1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1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1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1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1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1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1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1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1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1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1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1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1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1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1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1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1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1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1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1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1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1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1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1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1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1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1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1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1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1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1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1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1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1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1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1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1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1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1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1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1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1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1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1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1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1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1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1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1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1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1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1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1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1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1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1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1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1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1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1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1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1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1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1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1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1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1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1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1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1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1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1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1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1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1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1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1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1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1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1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1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1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1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1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1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1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1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1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1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1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1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1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1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1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1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1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1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1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1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1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1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1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1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1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1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1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1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1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1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1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1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1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1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1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1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1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1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1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1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1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1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1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1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1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1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1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1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1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1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1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1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1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1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1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1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1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1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1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1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1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1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1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1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1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1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1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1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1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1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1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1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1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1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1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1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1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1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1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1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1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1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1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1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1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1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1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1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1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1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1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1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1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1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1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1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1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1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1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1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1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1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1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1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1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1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1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1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1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1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1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1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1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1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1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1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1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1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1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1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1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1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1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1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1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1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1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1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1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1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1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1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1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1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1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1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1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1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1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1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1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1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1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1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1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1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1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1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1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1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1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1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1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1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1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1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1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1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1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1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1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1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1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1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1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1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1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1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1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1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1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1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1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1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1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1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1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1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1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1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1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1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1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1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1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1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1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1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1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1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1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1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1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1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1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1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1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1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1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1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1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1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1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1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1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1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1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1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1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1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1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1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1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1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1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1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1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1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1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1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1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1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1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1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1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1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1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1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1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1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1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1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1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1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1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1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1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1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1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1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1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1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1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1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1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1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1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1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1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1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1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1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1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1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1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1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1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1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1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1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1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1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1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1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1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1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1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1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1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1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1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1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1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1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1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1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1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1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1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1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1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1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1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1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1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1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1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1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1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1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1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1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1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1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1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1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1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1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1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1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1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1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1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1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1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1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1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1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1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1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1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1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1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1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1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1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1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1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1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1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1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1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1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1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</row>
    <row r="2" spans="1:16303" ht="18.75" hidden="1" x14ac:dyDescent="0.3">
      <c r="A2" s="227"/>
      <c r="B2" s="163"/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3"/>
      <c r="P2" s="164"/>
      <c r="Q2" s="164" t="s">
        <v>34</v>
      </c>
      <c r="R2" s="163"/>
      <c r="S2" s="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1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1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1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1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1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1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1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1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1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1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1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1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1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1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1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1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1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1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1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1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1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1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1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1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1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1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1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1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1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1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1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1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1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1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1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1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1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1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1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1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1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1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1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1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1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1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1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1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1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1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1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1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1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1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1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1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1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1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1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1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1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1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1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1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1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1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1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1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1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1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1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1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1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1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1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1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1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1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1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1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1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1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1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1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1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1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1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1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1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1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1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1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1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1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1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1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1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1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1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1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1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1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1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1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1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1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1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1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1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1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1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1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1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1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1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1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1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1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1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1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1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1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1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1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1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1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1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1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1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1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1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1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1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1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1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1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1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1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1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1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1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1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1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1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1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1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1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1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1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1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1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1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1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1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1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1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1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1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1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1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1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1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1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1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1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1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1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1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1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1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1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1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1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1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1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1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1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1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1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1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1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1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1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1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1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1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1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1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1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1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1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1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1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1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1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1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1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1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1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1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1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1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1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1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1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1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1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1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1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1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1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1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1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1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1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1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1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1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1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1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1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1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1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1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1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1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1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1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1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1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1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1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1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1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1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1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1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1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1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1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1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1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1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1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1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1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1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1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1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1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1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1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1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1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1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1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1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1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1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1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1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1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1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1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1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1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1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1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1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1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1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1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1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1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1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1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1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1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1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1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1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1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1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1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1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1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1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1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1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1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1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1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1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1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1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1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1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1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1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1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1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1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1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1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1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1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1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1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1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1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1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1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1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1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1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1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1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1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1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1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1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1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1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1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1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1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1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1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1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1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1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1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1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1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1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1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1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1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1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1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1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1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1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1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1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1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1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1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1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1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1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1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1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1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1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1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1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1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1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1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1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1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1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1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1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1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1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1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1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1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1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1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1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1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1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1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1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1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1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1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1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1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1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1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1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1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1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1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1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1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1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1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1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1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1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1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1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1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1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1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1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1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1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1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1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1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1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1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1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1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1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1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1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1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1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1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1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1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1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1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1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1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1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1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1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1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1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1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1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1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1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1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1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1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1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1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1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1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1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1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1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1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1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1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1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1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1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1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1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1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1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1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1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1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1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1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1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1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1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1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1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1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1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1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1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1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1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1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1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1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1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1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1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1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1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1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1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1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1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1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1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1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1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1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1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1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1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1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1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1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1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1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1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1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1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1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1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1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1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1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1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1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1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1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1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1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1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1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1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1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1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1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1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1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1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1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1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1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1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1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1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1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1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1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1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1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1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1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1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1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1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1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1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1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1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1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1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1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1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1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1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1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1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1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1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1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1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1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1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1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1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1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1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1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1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1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1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1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1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1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1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1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1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1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1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1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1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1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1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1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1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1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1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1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1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1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1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1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1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1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1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1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1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1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1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1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1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1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1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1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1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1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1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1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1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1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1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1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1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1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1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1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1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1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1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1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1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1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1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1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1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1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1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1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1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1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1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1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1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1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1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1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1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1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1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1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1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1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1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1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1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1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1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1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1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1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1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1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1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1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1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1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1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1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1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1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1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1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1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1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1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1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1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1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1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1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1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1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1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1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1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1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1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1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1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1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1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1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1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1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1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1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1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1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1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1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1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1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1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1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1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1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1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1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1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1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1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1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1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1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1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1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1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1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1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1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1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1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1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1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1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1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1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1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1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1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1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1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1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1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1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1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1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1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1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1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1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1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1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1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1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1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1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1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1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1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1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1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1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1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1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1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1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1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1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1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1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1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1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1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1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1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1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1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1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1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1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1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1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1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1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1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1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1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1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1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1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1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1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1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1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1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1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1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1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1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1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1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1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1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1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1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1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1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1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1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1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1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1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1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1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1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1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1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1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1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1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1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1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1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1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1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1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1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1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1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1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1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1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1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1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1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1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1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1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1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1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1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1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1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1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1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1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1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1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1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1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1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1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1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1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1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1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1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1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1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1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1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1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1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1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1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1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1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1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1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1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1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1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1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1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1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1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1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1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1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1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1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1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1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1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1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1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1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1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1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1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1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1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1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1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1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1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1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1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1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1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1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1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1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1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1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1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1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1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1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1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1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1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1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1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1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1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1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1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1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1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1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1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1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1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1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1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1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1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1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1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1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1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1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1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1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1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1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1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1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1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1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1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1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1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1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1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1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1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1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1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1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1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1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1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1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1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1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1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1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1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1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1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1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1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1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1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1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1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1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1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1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1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1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1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1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1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1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1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1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1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1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1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1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1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1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1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1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1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1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1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1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1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1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1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1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1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1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1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1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1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1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1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1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1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1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1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1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1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1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1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1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1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1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1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1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1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1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1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1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1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1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1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1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1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1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1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1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1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1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1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1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1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1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1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1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1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1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1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1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1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1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1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1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1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1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1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1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1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</row>
    <row r="3" spans="1:16303" ht="18.75" hidden="1" x14ac:dyDescent="0.3">
      <c r="A3" s="227"/>
      <c r="B3" s="163"/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3"/>
      <c r="P3" s="164"/>
      <c r="Q3" s="164"/>
      <c r="R3" s="163"/>
      <c r="S3" s="1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1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1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1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1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1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1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1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1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1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1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1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1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1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1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1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1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1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1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1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1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1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1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1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1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1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1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1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1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1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1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1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1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1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1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1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1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1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1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1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1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1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1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1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1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1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1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1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1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1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1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1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1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1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1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1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1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1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1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1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1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1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1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1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1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1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1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1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1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1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1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1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1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1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1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1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1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1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1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1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1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1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1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1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1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1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1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1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1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1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1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1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1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1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1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1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1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1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1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1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1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1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1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1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1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1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1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1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1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1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1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1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1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1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1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1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1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1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1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1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1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1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1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1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1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1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1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1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1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1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1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1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1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1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1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1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1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1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1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1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1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1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1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1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1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1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1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1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1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1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1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1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1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1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1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1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1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1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1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1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1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1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1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1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1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1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1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1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1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1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1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1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1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1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1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1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1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1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1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1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1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1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1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1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1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1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1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1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1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1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1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1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1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1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1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1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1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1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1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1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1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1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1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1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1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1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1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1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1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1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1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1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1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1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1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1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1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1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1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1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1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1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1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1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1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1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1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1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1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1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1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1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1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1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1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1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1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1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1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1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1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1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1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1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1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1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1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1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1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1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1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1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1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1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1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1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1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1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1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1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1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1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1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1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1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1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1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1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1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1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1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1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1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1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1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1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1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1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1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1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1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1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1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1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1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1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1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1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1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1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1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1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1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1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1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1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1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1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1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1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1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1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1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1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1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1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1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1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1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1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1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1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1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1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1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1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1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1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1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1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1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1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1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1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1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1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1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1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1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1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1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1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1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1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1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1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1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1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1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1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1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1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1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1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1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1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1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1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1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1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1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1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1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1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1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1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1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1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1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1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1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1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1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1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1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1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1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1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1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1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1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1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1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1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1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1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1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1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1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1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1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1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1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1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1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1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1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1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1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1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1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1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1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1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1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1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1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1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1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1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1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1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1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1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1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1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1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1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1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1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1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1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1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1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1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1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1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1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1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1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1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1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1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1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1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1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1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1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1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1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1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1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1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1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1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1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1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1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1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1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1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1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1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1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1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1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1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1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1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1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1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1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1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1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1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1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1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1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1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1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1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1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1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1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1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1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1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1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1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1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1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1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1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1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1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1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1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1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1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1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1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1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1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1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1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1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1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1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1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1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1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1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1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1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1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1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1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1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1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1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1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1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1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1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1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1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1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1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1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1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1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1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1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1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1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1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1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1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1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1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1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1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1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1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1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1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1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1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1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1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1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1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1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1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1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1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1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1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1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1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1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1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1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1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1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1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1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1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1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1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1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1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1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1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1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1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1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1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1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1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1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1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1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1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1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1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1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1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1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1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1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1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1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1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1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1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1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1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1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1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1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1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1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1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1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1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1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1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1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1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1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1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1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1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1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1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1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1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1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1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1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1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1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1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1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1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1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1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1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1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1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1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1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1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1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1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1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1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1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1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1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1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1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1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1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1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1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1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1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1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1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1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1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1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1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1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1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1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1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1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1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1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1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1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1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1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1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1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1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1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1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1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1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1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1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1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1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1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1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1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1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1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1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1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1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1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1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1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1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1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1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1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1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1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1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1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1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1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1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1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1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1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1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1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1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1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1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1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1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1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1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1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1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1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1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1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1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1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1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1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1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1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1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1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1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1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1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1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1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1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1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1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1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1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1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1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1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1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1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1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1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1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1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1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1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1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1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1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1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1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1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1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1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1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1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1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1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1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1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1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1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1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1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1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1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1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1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1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1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1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1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1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1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1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1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1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1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1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1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1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1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1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1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1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1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1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1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1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1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1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1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1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1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1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1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1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1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1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1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1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1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1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1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1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1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1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1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1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1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1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1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1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1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1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1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1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1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1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1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1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1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1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1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1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1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1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1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1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1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1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1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1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1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1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1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1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1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1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1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1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1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1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1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1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1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1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1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1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1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1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1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1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1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1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1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1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1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1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1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1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1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1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1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1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1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1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1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1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1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1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1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1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1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1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1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1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1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1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1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1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1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1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1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1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1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1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1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1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1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1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1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1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1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1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1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1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1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1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1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1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1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1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1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1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1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1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1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1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1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1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1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1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1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1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1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1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1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1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1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1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1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1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1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1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1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1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1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1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1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1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1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1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1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1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1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1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1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1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1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1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1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1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1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1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1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1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1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1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1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1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1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1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1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1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1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1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1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1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1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1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1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1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1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1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1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1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1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1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1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1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1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1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1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1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1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1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1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1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1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1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1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1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1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1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1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1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1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1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1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1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1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1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1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1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1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1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1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1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1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1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1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1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1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1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1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1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1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1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1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1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1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1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1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1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1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1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1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1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1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1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1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1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1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1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1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1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1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1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1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1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1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1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1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1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1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1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1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</row>
    <row r="4" spans="1:16303" ht="18.75" hidden="1" x14ac:dyDescent="0.3">
      <c r="A4" s="227"/>
      <c r="B4" s="163"/>
      <c r="C4" s="163"/>
      <c r="D4" s="163"/>
      <c r="E4" s="163"/>
      <c r="F4" s="163" t="s">
        <v>6</v>
      </c>
      <c r="G4" s="163"/>
      <c r="H4" s="163"/>
      <c r="I4" s="163"/>
      <c r="J4" s="163"/>
      <c r="K4" s="163"/>
      <c r="L4" s="163"/>
      <c r="M4" s="163"/>
      <c r="N4" s="163"/>
      <c r="O4" s="163"/>
      <c r="P4" s="164"/>
      <c r="Q4" s="164" t="s">
        <v>62</v>
      </c>
      <c r="R4" s="163"/>
      <c r="S4" s="1"/>
      <c r="T4" s="2"/>
      <c r="U4" s="2"/>
      <c r="V4" s="189"/>
      <c r="W4" s="2"/>
      <c r="X4" s="2"/>
      <c r="Y4" s="2"/>
      <c r="Z4" s="2"/>
      <c r="AA4" s="2"/>
      <c r="AB4" s="2"/>
      <c r="AC4" s="2"/>
      <c r="AD4" s="2"/>
      <c r="AE4" s="2"/>
      <c r="AF4" s="1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1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1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1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1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1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1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1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1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1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1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1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1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1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1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1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1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1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1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1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1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1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1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1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1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1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1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1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1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1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1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1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1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1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1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1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1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1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1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1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1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1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1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1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1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1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1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1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1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1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1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1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1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1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1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1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1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1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1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1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1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1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1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1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1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1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1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1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1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1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1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1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1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1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1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1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1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1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1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1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1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1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1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1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1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1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1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1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1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1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1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1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1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1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1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1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1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1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1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1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1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1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1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1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1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1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1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1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1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1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1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1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1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1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1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1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1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1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1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1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1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1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1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1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1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1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1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1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1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1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1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1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1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1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1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1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1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1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1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1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1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1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1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1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1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1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1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1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1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1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1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1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1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1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1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1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1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1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1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1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1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1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1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1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1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1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1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1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1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1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1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1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1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1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1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1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1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1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1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1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1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1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1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1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1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1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1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1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1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1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1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1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1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1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1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1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1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1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1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1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1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1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1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1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1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1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1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1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1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1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1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1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1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1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1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1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1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1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1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1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1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1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1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1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1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1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1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1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1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1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1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1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1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1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1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1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1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1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1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1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1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1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1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1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1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1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1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1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1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1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1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1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1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1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1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1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1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1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1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1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1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1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1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1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1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1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1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1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1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1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1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1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1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1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1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1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1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1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1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1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1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1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1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1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1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1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1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1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1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1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1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1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1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1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1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1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1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1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1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1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1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1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1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1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1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1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1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1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1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1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1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1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1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1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1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1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1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1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1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1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1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1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1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1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1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1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1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1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1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1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1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1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1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1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1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1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1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1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1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1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1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1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1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1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1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1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1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1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1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1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1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1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1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1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1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1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1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1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1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1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1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1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1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1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1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1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1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1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1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1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1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1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1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1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1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1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1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1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1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1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1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1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1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1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1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1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1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1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1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1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1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1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1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1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1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1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1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1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1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1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1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1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1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1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1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1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1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1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1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1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1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1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1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1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1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1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1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1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1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1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1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1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1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1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1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1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1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1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1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1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1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1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1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1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1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1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1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1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1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1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1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1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1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1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1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1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1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1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1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1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1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1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1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1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1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1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1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1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1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1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1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1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1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1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1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1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1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1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1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1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1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1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1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1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1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1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1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1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1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1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1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1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1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1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1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1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1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1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1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1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1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1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1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1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1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1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1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1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1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1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1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1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1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1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1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1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1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1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1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1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1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1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1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1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1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1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1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1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1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1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1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1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1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1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1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1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1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1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1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1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1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1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1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1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1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1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1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1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1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1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1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1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1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1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1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1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1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1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1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1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1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1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1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1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1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1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1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1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1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1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1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1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1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1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1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1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1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1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1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1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1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1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1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1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1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1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1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1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1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1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1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1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1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1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1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1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1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1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1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1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1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1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1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1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1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1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1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1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1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1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1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1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1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1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1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1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1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1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1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1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1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1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1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1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1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1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1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1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1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1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1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1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1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1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1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1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1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1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1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1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1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1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1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1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1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1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1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1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1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1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1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1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1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1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1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1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1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1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1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1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1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1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1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1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1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1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1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1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1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1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1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1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1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1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1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1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1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1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1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1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1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1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1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1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1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1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1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1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1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1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1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1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1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1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1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1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1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1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1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1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1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1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1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1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1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1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1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1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1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1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1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1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1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1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1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1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1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1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1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1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1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1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1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1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1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1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1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1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1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1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1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1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1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1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1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1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1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1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1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1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1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1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1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1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1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1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1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1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1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1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1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1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1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1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1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1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1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1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1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1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1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1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1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1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1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1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1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1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1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1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1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1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1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1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1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1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1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1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1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1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1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1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1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1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1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1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1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1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1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1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1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1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1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1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1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1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1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1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1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1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1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1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1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1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1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1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1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1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1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1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1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1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1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1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1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1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1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1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1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1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1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1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1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1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1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1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1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1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1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1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1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1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1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1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1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1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1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1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1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1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1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1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1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1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1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1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1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1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1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1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1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1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1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1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1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1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1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1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1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1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1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1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1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1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1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1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1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1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1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1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1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1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1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1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1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1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1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1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1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1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1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1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1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1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1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1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1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1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1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1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1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1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1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1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1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1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1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1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1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1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1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1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1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1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1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1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1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1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1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1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1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1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1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1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1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1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1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1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1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1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1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1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1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1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1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1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1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1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1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1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1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1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1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1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1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1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1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1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1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1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1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1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1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1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1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1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1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1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1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1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1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1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1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1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1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1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1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1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1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1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1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1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1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1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1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1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1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1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1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1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1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1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1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1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1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1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1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1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1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1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1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1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1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1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1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1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1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1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1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1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1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1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1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1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1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1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1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1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1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1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1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1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1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1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1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1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1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1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1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1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1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1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1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1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1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1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1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1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1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1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1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1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1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1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1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</row>
    <row r="5" spans="1:16303" ht="18.75" hidden="1" x14ac:dyDescent="0.3">
      <c r="A5" s="227"/>
      <c r="B5" s="163"/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3"/>
      <c r="P5" s="164"/>
      <c r="Q5" s="163" t="s">
        <v>35</v>
      </c>
      <c r="R5" s="163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1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1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1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1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1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1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1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1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1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1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1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1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1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1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1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1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1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1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1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1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1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1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1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1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1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1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1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1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1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1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1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1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1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1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1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1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1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1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1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1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1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1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1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1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1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1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1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1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1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1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1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1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1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1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1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1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1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1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1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1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1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1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1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1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1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1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1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1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1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1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1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1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1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1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1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1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1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1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1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1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1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1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1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1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1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1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1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1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1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1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1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1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1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1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1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1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1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1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1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1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1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1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1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1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1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1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1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1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1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1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1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1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1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1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1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1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1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1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1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1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1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1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1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1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1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1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1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1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1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1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1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1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1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1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1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1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1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1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1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1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1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1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1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1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1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1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1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1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1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1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1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1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1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1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1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1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1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1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1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1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1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1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1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1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1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1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1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1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1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1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1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1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1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1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1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1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1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1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1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1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1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1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1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1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1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1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1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1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1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1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1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1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1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1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1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1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1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1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1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1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1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1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1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1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1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1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1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1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1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1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1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1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1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1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1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1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1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1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1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1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1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1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1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1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1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1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1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1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1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1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1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1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1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1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1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1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1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1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1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1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1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1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1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1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1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1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1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1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1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1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1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1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1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1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1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1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1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1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1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1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1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1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1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1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1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1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1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1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1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1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1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1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1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1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1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1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1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1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1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1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1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1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1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1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1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1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1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1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1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1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1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1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1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1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1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1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1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1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1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1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1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1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1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1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1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1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1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1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1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1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1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1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1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1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1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1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1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1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1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1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1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1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1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1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1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1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1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1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1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1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1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1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1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1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1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1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1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1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1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1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1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1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1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1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1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1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1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1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1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1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1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1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1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1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1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1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1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1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1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1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1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1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1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1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1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1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1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1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1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1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1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1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1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1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1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1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1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1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1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1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1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1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1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1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1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1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1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1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1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1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1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1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1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1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1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1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1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1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1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1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1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1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1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1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1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1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1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1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1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1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1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1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1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1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1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1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1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1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1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1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1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1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1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1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1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1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1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1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1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1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1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1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1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1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1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1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1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1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1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1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1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1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1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1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1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1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1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1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1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1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1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1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1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1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1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1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1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1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1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1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1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1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1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1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1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1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1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1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1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1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1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1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1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1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1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1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1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1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1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1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1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1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1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1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1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1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1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1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1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1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1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1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1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1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1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1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1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1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1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1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1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1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1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1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1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1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1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1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1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1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1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1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1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1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1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1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1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1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1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1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1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1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1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1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1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1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1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1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1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1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1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1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1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1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1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1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1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1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1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1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1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1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1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1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1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1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1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1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1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1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1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1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1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1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1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1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1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1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1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1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1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1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1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1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1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1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1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1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1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1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1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1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1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1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1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1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1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1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1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1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1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1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1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1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1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1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1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1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1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1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1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1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1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1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1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1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1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1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1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1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1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1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1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1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1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1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1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1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1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1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1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1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1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1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1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1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1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1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1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1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1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1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1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1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1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1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1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1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1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1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1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1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1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1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1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1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1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1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1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1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1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1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1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1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1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1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1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1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1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1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1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1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1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1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1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1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1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1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1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1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1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1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1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1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1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1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1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1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1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1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1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1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1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1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1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1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1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1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1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1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1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1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1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1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1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1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1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1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1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1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1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1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1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1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1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1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1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1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1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1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1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1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1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1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1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1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1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1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1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1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1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1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1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1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1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1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1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1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1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1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1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1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1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1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1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1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1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1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1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1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1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1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1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1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1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1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1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1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1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1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1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1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1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1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1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1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1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1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1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1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1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1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1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1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1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1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1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1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1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1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1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1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1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1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1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1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1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1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1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1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1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1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1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1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1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1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1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1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1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1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1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1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1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1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1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1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1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1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1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1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1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1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1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1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1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1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1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1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1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1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1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1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1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1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1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1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1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1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1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1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1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1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1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1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1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1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1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1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1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1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1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1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1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1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1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1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1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1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1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1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1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1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1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1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1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1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1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1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1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1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1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1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1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1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1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1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1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1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1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1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1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1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1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1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1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1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1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1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1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1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1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1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1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1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1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1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1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1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1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1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1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1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1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1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1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1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1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1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1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1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1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1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1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1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1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1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1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1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1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1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1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1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1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1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1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1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1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1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1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1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1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1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1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1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1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1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1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1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1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1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1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1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1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1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1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1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1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1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1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1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1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1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1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1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1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1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1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1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1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1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1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1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1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1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1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1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1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1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1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1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1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1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1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1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1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1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1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1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1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1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1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1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1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1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1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1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1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1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1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1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1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1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1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1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1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1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1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1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1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1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1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1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1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1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1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1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1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1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1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1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1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1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1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1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1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1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1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1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1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1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1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1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1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1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1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1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1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1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1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1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1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1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1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1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1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1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1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1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1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1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1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1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1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1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1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1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1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</row>
    <row r="7" spans="1:16303" ht="18.75" customHeight="1" x14ac:dyDescent="0.3">
      <c r="A7" s="228"/>
      <c r="B7" s="458" t="s">
        <v>117</v>
      </c>
      <c r="C7" s="458"/>
      <c r="D7" s="458"/>
      <c r="E7" s="458"/>
      <c r="F7" s="458"/>
      <c r="G7" s="458"/>
      <c r="H7" s="458"/>
      <c r="I7" s="458"/>
      <c r="J7" s="224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190"/>
    </row>
    <row r="8" spans="1:16303" ht="25.5" customHeight="1" x14ac:dyDescent="0.3">
      <c r="A8" s="228"/>
      <c r="B8" s="223" t="s">
        <v>116</v>
      </c>
      <c r="C8" s="224"/>
      <c r="D8" s="224"/>
      <c r="E8" s="224"/>
      <c r="F8" s="224"/>
      <c r="G8" s="224"/>
      <c r="H8" s="224"/>
      <c r="I8" s="224"/>
      <c r="J8" s="224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190"/>
    </row>
    <row r="9" spans="1:16303" ht="80.25" customHeight="1" x14ac:dyDescent="0.2">
      <c r="A9" s="392" t="s">
        <v>4</v>
      </c>
      <c r="B9" s="411" t="s">
        <v>14</v>
      </c>
      <c r="C9" s="414" t="s">
        <v>15</v>
      </c>
      <c r="D9" s="411" t="s">
        <v>16</v>
      </c>
      <c r="E9" s="417"/>
      <c r="F9" s="411" t="s">
        <v>17</v>
      </c>
      <c r="G9" s="420"/>
      <c r="H9" s="417"/>
      <c r="I9" s="414" t="s">
        <v>99</v>
      </c>
      <c r="J9" s="345" t="s">
        <v>97</v>
      </c>
      <c r="K9" s="178"/>
      <c r="L9" s="178"/>
      <c r="M9" s="175"/>
      <c r="N9" s="168" t="s">
        <v>65</v>
      </c>
      <c r="O9" s="170"/>
      <c r="P9" s="174"/>
      <c r="Q9" s="178"/>
      <c r="R9" s="178"/>
      <c r="S9" s="178"/>
      <c r="T9" s="417" t="s">
        <v>98</v>
      </c>
    </row>
    <row r="10" spans="1:16303" ht="18.75" customHeight="1" x14ac:dyDescent="0.2">
      <c r="A10" s="393"/>
      <c r="B10" s="412"/>
      <c r="C10" s="415"/>
      <c r="D10" s="412"/>
      <c r="E10" s="418"/>
      <c r="F10" s="413"/>
      <c r="G10" s="421"/>
      <c r="H10" s="419"/>
      <c r="I10" s="415"/>
      <c r="J10" s="345"/>
      <c r="K10" s="178"/>
      <c r="L10" s="178"/>
      <c r="M10" s="175"/>
      <c r="N10" s="176"/>
      <c r="O10" s="177"/>
      <c r="P10" s="179"/>
      <c r="Q10" s="174"/>
      <c r="R10" s="178"/>
      <c r="S10" s="178"/>
      <c r="T10" s="418"/>
    </row>
    <row r="11" spans="1:16303" ht="18.75" customHeight="1" x14ac:dyDescent="0.2">
      <c r="A11" s="393"/>
      <c r="B11" s="412"/>
      <c r="C11" s="415"/>
      <c r="D11" s="412"/>
      <c r="E11" s="418"/>
      <c r="F11" s="61" t="s">
        <v>20</v>
      </c>
      <c r="G11" s="341" t="s">
        <v>21</v>
      </c>
      <c r="H11" s="342"/>
      <c r="I11" s="415"/>
      <c r="J11" s="345"/>
      <c r="K11" s="170"/>
      <c r="L11" s="61"/>
      <c r="M11" s="180" t="s">
        <v>23</v>
      </c>
      <c r="N11" s="176"/>
      <c r="O11" s="177"/>
      <c r="P11" s="181"/>
      <c r="Q11" s="180"/>
      <c r="R11" s="168"/>
      <c r="S11" s="169"/>
      <c r="T11" s="418"/>
    </row>
    <row r="12" spans="1:16303" ht="6" customHeight="1" x14ac:dyDescent="0.2">
      <c r="A12" s="393"/>
      <c r="B12" s="412"/>
      <c r="C12" s="415"/>
      <c r="D12" s="412"/>
      <c r="E12" s="418"/>
      <c r="F12" s="61" t="s">
        <v>69</v>
      </c>
      <c r="G12" s="341" t="s">
        <v>69</v>
      </c>
      <c r="H12" s="342"/>
      <c r="I12" s="415"/>
      <c r="J12" s="345"/>
      <c r="K12" s="177"/>
      <c r="L12" s="61"/>
      <c r="M12" s="183"/>
      <c r="N12" s="176"/>
      <c r="O12" s="177"/>
      <c r="P12" s="181"/>
      <c r="Q12" s="183"/>
      <c r="R12" s="171"/>
      <c r="S12" s="172"/>
      <c r="T12" s="418"/>
    </row>
    <row r="13" spans="1:16303" ht="3.75" customHeight="1" x14ac:dyDescent="0.2">
      <c r="A13" s="394"/>
      <c r="B13" s="413"/>
      <c r="C13" s="416"/>
      <c r="D13" s="413"/>
      <c r="E13" s="419"/>
      <c r="F13" s="61" t="s">
        <v>63</v>
      </c>
      <c r="G13" s="341" t="s">
        <v>64</v>
      </c>
      <c r="H13" s="342"/>
      <c r="I13" s="416"/>
      <c r="J13" s="345"/>
      <c r="K13" s="173"/>
      <c r="L13" s="61"/>
      <c r="M13" s="182"/>
      <c r="N13" s="171"/>
      <c r="O13" s="173"/>
      <c r="P13" s="184"/>
      <c r="Q13" s="182"/>
      <c r="R13" s="174"/>
      <c r="S13" s="175"/>
      <c r="T13" s="419"/>
    </row>
    <row r="14" spans="1:16303" ht="18.75" x14ac:dyDescent="0.2">
      <c r="A14" s="12">
        <v>1</v>
      </c>
      <c r="B14" s="146">
        <v>2</v>
      </c>
      <c r="C14" s="141">
        <v>3</v>
      </c>
      <c r="D14" s="423">
        <v>4</v>
      </c>
      <c r="E14" s="424"/>
      <c r="F14" s="141">
        <v>5</v>
      </c>
      <c r="G14" s="423">
        <v>6</v>
      </c>
      <c r="H14" s="424"/>
      <c r="I14" s="185"/>
      <c r="J14" s="423">
        <v>4</v>
      </c>
      <c r="K14" s="424"/>
      <c r="L14" s="141"/>
      <c r="M14" s="141">
        <v>8</v>
      </c>
      <c r="N14" s="423">
        <v>9</v>
      </c>
      <c r="O14" s="424"/>
      <c r="P14" s="166">
        <v>10</v>
      </c>
      <c r="Q14" s="167">
        <v>11</v>
      </c>
      <c r="R14" s="423">
        <v>12</v>
      </c>
      <c r="S14" s="424"/>
      <c r="T14" s="141">
        <v>5</v>
      </c>
    </row>
    <row r="15" spans="1:16303" ht="30.75" customHeight="1" x14ac:dyDescent="0.2">
      <c r="A15" s="425" t="s">
        <v>26</v>
      </c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7"/>
    </row>
    <row r="16" spans="1:16303" ht="48" customHeight="1" x14ac:dyDescent="0.3">
      <c r="A16" s="141">
        <v>1</v>
      </c>
      <c r="B16" s="55" t="s">
        <v>48</v>
      </c>
      <c r="C16" s="16">
        <v>567</v>
      </c>
      <c r="D16" s="374">
        <v>567</v>
      </c>
      <c r="E16" s="375"/>
      <c r="F16" s="73" t="s">
        <v>76</v>
      </c>
      <c r="G16" s="73"/>
      <c r="H16" s="73" t="s">
        <v>75</v>
      </c>
      <c r="I16" s="63">
        <v>1982</v>
      </c>
      <c r="J16" s="355">
        <v>75245</v>
      </c>
      <c r="K16" s="356"/>
      <c r="L16" s="87">
        <v>0.9</v>
      </c>
      <c r="M16" s="3">
        <v>64800</v>
      </c>
      <c r="N16" s="330">
        <v>64742.8</v>
      </c>
      <c r="O16" s="331"/>
      <c r="P16" s="40">
        <f>R16+T16</f>
        <v>132.70723104056438</v>
      </c>
      <c r="Q16" s="100">
        <f>0</f>
        <v>0</v>
      </c>
      <c r="R16" s="343">
        <f>0</f>
        <v>0</v>
      </c>
      <c r="S16" s="344"/>
      <c r="T16" s="3">
        <f t="shared" ref="T16:T25" si="0">J16/C16</f>
        <v>132.70723104056438</v>
      </c>
    </row>
    <row r="17" spans="1:62" ht="51.75" customHeight="1" x14ac:dyDescent="0.2">
      <c r="A17" s="141">
        <v>2</v>
      </c>
      <c r="B17" s="225" t="s">
        <v>44</v>
      </c>
      <c r="C17" s="16">
        <v>377</v>
      </c>
      <c r="D17" s="374">
        <v>377</v>
      </c>
      <c r="E17" s="375"/>
      <c r="F17" s="73" t="s">
        <v>76</v>
      </c>
      <c r="G17" s="340" t="s">
        <v>11</v>
      </c>
      <c r="H17" s="334"/>
      <c r="I17" s="58">
        <v>1982</v>
      </c>
      <c r="J17" s="355">
        <v>106395</v>
      </c>
      <c r="K17" s="356"/>
      <c r="L17" s="88">
        <v>0.9</v>
      </c>
      <c r="M17" s="50">
        <v>90679.51</v>
      </c>
      <c r="N17" s="343">
        <v>3484.21</v>
      </c>
      <c r="O17" s="344"/>
      <c r="P17" s="40">
        <f>R17+T17</f>
        <v>60183.594854111412</v>
      </c>
      <c r="Q17" s="100">
        <f>0</f>
        <v>0</v>
      </c>
      <c r="R17" s="355">
        <f>69901.38-10000</f>
        <v>59901.380000000005</v>
      </c>
      <c r="S17" s="356"/>
      <c r="T17" s="3">
        <f t="shared" si="0"/>
        <v>282.21485411140583</v>
      </c>
    </row>
    <row r="18" spans="1:62" ht="29.25" customHeight="1" x14ac:dyDescent="0.2">
      <c r="A18" s="141">
        <v>3</v>
      </c>
      <c r="B18" s="55" t="s">
        <v>30</v>
      </c>
      <c r="C18" s="16">
        <v>502</v>
      </c>
      <c r="D18" s="374">
        <v>502</v>
      </c>
      <c r="E18" s="375"/>
      <c r="F18" s="73" t="s">
        <v>76</v>
      </c>
      <c r="G18" s="340" t="s">
        <v>11</v>
      </c>
      <c r="H18" s="334"/>
      <c r="I18" s="58">
        <v>1976</v>
      </c>
      <c r="J18" s="355">
        <v>99451</v>
      </c>
      <c r="K18" s="356"/>
      <c r="L18" s="88">
        <v>0.9</v>
      </c>
      <c r="M18" s="50">
        <f>N18+P18</f>
        <v>71813.359561752994</v>
      </c>
      <c r="N18" s="343">
        <f>5555.65+15059.6</f>
        <v>20615.25</v>
      </c>
      <c r="O18" s="344"/>
      <c r="P18" s="40">
        <f>R18+T18</f>
        <v>51198.109561752986</v>
      </c>
      <c r="Q18" s="100">
        <f>0</f>
        <v>0</v>
      </c>
      <c r="R18" s="355">
        <f>61000-10000</f>
        <v>51000</v>
      </c>
      <c r="S18" s="356"/>
      <c r="T18" s="3">
        <f t="shared" si="0"/>
        <v>198.10956175298804</v>
      </c>
    </row>
    <row r="19" spans="1:62" ht="35.25" customHeight="1" x14ac:dyDescent="0.2">
      <c r="A19" s="141">
        <v>4</v>
      </c>
      <c r="B19" s="225" t="s">
        <v>37</v>
      </c>
      <c r="C19" s="16">
        <v>1064</v>
      </c>
      <c r="D19" s="374">
        <v>1064</v>
      </c>
      <c r="E19" s="375"/>
      <c r="F19" s="73" t="s">
        <v>76</v>
      </c>
      <c r="G19" s="340" t="s">
        <v>12</v>
      </c>
      <c r="H19" s="334"/>
      <c r="I19" s="58">
        <v>1978</v>
      </c>
      <c r="J19" s="355">
        <v>114278</v>
      </c>
      <c r="K19" s="356"/>
      <c r="L19" s="88">
        <v>0.9</v>
      </c>
      <c r="M19" s="50">
        <f>N19+P19</f>
        <v>59947.274135338346</v>
      </c>
      <c r="N19" s="343">
        <v>19541</v>
      </c>
      <c r="O19" s="344"/>
      <c r="P19" s="50">
        <f>R19+T19</f>
        <v>40406.274135338346</v>
      </c>
      <c r="Q19" s="100">
        <f>0</f>
        <v>0</v>
      </c>
      <c r="R19" s="355">
        <v>40298.870000000003</v>
      </c>
      <c r="S19" s="356"/>
      <c r="T19" s="3">
        <f t="shared" si="0"/>
        <v>107.40413533834587</v>
      </c>
    </row>
    <row r="20" spans="1:62" ht="39" customHeight="1" x14ac:dyDescent="0.2">
      <c r="A20" s="236">
        <v>5</v>
      </c>
      <c r="B20" s="119" t="s">
        <v>38</v>
      </c>
      <c r="C20" s="77">
        <v>1329</v>
      </c>
      <c r="D20" s="357">
        <v>1329</v>
      </c>
      <c r="E20" s="358"/>
      <c r="F20" s="73" t="s">
        <v>76</v>
      </c>
      <c r="G20" s="359" t="s">
        <v>11</v>
      </c>
      <c r="H20" s="360"/>
      <c r="I20" s="186">
        <v>1975</v>
      </c>
      <c r="J20" s="355">
        <v>140749</v>
      </c>
      <c r="K20" s="356"/>
      <c r="L20" s="93">
        <v>0.9</v>
      </c>
      <c r="M20" s="50">
        <f>N20+P20</f>
        <v>82478.045944319034</v>
      </c>
      <c r="N20" s="361">
        <f>46.05+7000+143.54+167.29+125+7500</f>
        <v>14981.880000000001</v>
      </c>
      <c r="O20" s="362"/>
      <c r="P20" s="132">
        <f>R20+T20</f>
        <v>67496.165944319029</v>
      </c>
      <c r="Q20" s="52">
        <v>0</v>
      </c>
      <c r="R20" s="363">
        <f>82000-14609.74</f>
        <v>67390.259999999995</v>
      </c>
      <c r="S20" s="364"/>
      <c r="T20" s="3">
        <f t="shared" si="0"/>
        <v>105.90594431903688</v>
      </c>
    </row>
    <row r="21" spans="1:62" s="83" customFormat="1" ht="41.25" customHeight="1" x14ac:dyDescent="0.3">
      <c r="A21" s="141">
        <v>6</v>
      </c>
      <c r="B21" s="55" t="s">
        <v>56</v>
      </c>
      <c r="C21" s="16">
        <v>549</v>
      </c>
      <c r="D21" s="61"/>
      <c r="E21" s="16">
        <f>C21</f>
        <v>549</v>
      </c>
      <c r="F21" s="73" t="s">
        <v>76</v>
      </c>
      <c r="G21" s="73"/>
      <c r="H21" s="73" t="s">
        <v>11</v>
      </c>
      <c r="I21" s="63">
        <v>1986</v>
      </c>
      <c r="J21" s="355">
        <v>104103</v>
      </c>
      <c r="K21" s="356"/>
      <c r="L21" s="95">
        <v>0.9</v>
      </c>
      <c r="M21" s="3">
        <v>84323</v>
      </c>
      <c r="N21" s="355">
        <f>40350.59+14910.2</f>
        <v>55260.789999999994</v>
      </c>
      <c r="O21" s="356"/>
      <c r="P21" s="40">
        <f>Q21+R21+T21</f>
        <v>189.62295081967213</v>
      </c>
      <c r="Q21" s="100">
        <f>0</f>
        <v>0</v>
      </c>
      <c r="R21" s="343">
        <f>0</f>
        <v>0</v>
      </c>
      <c r="S21" s="344"/>
      <c r="T21" s="3">
        <f t="shared" si="0"/>
        <v>189.62295081967213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 s="135"/>
    </row>
    <row r="22" spans="1:62" ht="40.5" customHeight="1" x14ac:dyDescent="0.3">
      <c r="A22" s="237">
        <v>7</v>
      </c>
      <c r="B22" s="55" t="s">
        <v>10</v>
      </c>
      <c r="C22" s="16">
        <v>1717</v>
      </c>
      <c r="D22" s="61"/>
      <c r="E22" s="16">
        <f>C22</f>
        <v>1717</v>
      </c>
      <c r="F22" s="73" t="s">
        <v>11</v>
      </c>
      <c r="G22" s="73"/>
      <c r="H22" s="73" t="s">
        <v>7</v>
      </c>
      <c r="I22" s="63">
        <v>1982</v>
      </c>
      <c r="J22" s="197">
        <v>170000</v>
      </c>
      <c r="K22" s="97">
        <f>SUM(J22)</f>
        <v>170000</v>
      </c>
      <c r="L22" s="95">
        <v>0.9</v>
      </c>
      <c r="M22" s="40">
        <f>P22</f>
        <v>37899.009900990102</v>
      </c>
      <c r="N22" s="85"/>
      <c r="O22" s="97">
        <v>0</v>
      </c>
      <c r="P22" s="40">
        <f>R22+T22</f>
        <v>37899.009900990102</v>
      </c>
      <c r="Q22" s="100">
        <f>0</f>
        <v>0</v>
      </c>
      <c r="R22" s="343">
        <v>37800</v>
      </c>
      <c r="S22" s="344"/>
      <c r="T22" s="3">
        <f t="shared" si="0"/>
        <v>99.009900990099013</v>
      </c>
    </row>
    <row r="23" spans="1:62" ht="38.25" customHeight="1" x14ac:dyDescent="0.3">
      <c r="A23" s="141">
        <v>8</v>
      </c>
      <c r="B23" s="55" t="s">
        <v>79</v>
      </c>
      <c r="C23" s="16">
        <v>711.8</v>
      </c>
      <c r="D23" s="61"/>
      <c r="E23" s="16">
        <f>C23</f>
        <v>711.8</v>
      </c>
      <c r="F23" s="73" t="s">
        <v>12</v>
      </c>
      <c r="G23" s="73" t="s">
        <v>9</v>
      </c>
      <c r="H23" s="73" t="s">
        <v>9</v>
      </c>
      <c r="I23" s="63">
        <v>1973</v>
      </c>
      <c r="J23" s="197">
        <v>117314.16</v>
      </c>
      <c r="K23" s="97">
        <f>SUM(J23)</f>
        <v>117314.16</v>
      </c>
      <c r="L23" s="60">
        <v>0.9</v>
      </c>
      <c r="M23" s="40">
        <f>J23</f>
        <v>117314.16</v>
      </c>
      <c r="N23" s="85"/>
      <c r="O23" s="97">
        <v>0</v>
      </c>
      <c r="P23" s="3">
        <f>R23+T23</f>
        <v>23164.81337454341</v>
      </c>
      <c r="Q23" s="100">
        <f>0</f>
        <v>0</v>
      </c>
      <c r="R23" s="343">
        <v>23000</v>
      </c>
      <c r="S23" s="344"/>
      <c r="T23" s="3">
        <f t="shared" si="0"/>
        <v>164.81337454341107</v>
      </c>
    </row>
    <row r="24" spans="1:62" ht="55.5" customHeight="1" x14ac:dyDescent="0.3">
      <c r="A24" s="141">
        <v>9</v>
      </c>
      <c r="B24" s="56" t="s">
        <v>82</v>
      </c>
      <c r="C24" s="16">
        <v>610</v>
      </c>
      <c r="D24" s="61"/>
      <c r="E24" s="16">
        <f>C24</f>
        <v>610</v>
      </c>
      <c r="F24" s="73" t="s">
        <v>12</v>
      </c>
      <c r="G24" s="73" t="s">
        <v>9</v>
      </c>
      <c r="H24" s="73" t="s">
        <v>9</v>
      </c>
      <c r="I24" s="63">
        <v>1963</v>
      </c>
      <c r="J24" s="197">
        <v>122000</v>
      </c>
      <c r="K24" s="97">
        <f>SUM(J24)</f>
        <v>122000</v>
      </c>
      <c r="L24" s="60">
        <v>0.9</v>
      </c>
      <c r="M24" s="40">
        <f>P24</f>
        <v>19200</v>
      </c>
      <c r="N24" s="85"/>
      <c r="O24" s="97">
        <v>0</v>
      </c>
      <c r="P24" s="3">
        <f>R24+T24</f>
        <v>19200</v>
      </c>
      <c r="Q24" s="100">
        <f>0</f>
        <v>0</v>
      </c>
      <c r="R24" s="343">
        <v>19000</v>
      </c>
      <c r="S24" s="344"/>
      <c r="T24" s="3">
        <f>J24/C24</f>
        <v>200</v>
      </c>
    </row>
    <row r="25" spans="1:62" ht="32.25" customHeight="1" x14ac:dyDescent="0.3">
      <c r="A25" s="141">
        <v>10</v>
      </c>
      <c r="B25" s="55" t="s">
        <v>58</v>
      </c>
      <c r="C25" s="16">
        <v>601</v>
      </c>
      <c r="D25" s="61"/>
      <c r="E25" s="16">
        <f>C25</f>
        <v>601</v>
      </c>
      <c r="F25" s="73" t="s">
        <v>8</v>
      </c>
      <c r="G25" s="73"/>
      <c r="H25" s="73" t="s">
        <v>13</v>
      </c>
      <c r="I25" s="63">
        <v>1963</v>
      </c>
      <c r="J25" s="197">
        <v>120200</v>
      </c>
      <c r="K25" s="97">
        <f>SUM(J25)</f>
        <v>120200</v>
      </c>
      <c r="L25" s="60">
        <v>0.9</v>
      </c>
      <c r="M25" s="40">
        <f>J25</f>
        <v>120200</v>
      </c>
      <c r="N25" s="85"/>
      <c r="O25" s="97">
        <f>P25</f>
        <v>98000</v>
      </c>
      <c r="P25" s="3">
        <v>98000</v>
      </c>
      <c r="Q25" s="100">
        <f>0</f>
        <v>0</v>
      </c>
      <c r="R25" s="343">
        <v>22000</v>
      </c>
      <c r="S25" s="344"/>
      <c r="T25" s="3">
        <f t="shared" si="0"/>
        <v>200</v>
      </c>
    </row>
    <row r="26" spans="1:62" ht="33" customHeight="1" x14ac:dyDescent="0.3">
      <c r="A26" s="431" t="s">
        <v>32</v>
      </c>
      <c r="B26" s="432"/>
      <c r="C26" s="149">
        <f>SUM(C16:C25)</f>
        <v>8027.8</v>
      </c>
      <c r="D26" s="149">
        <f>SUM(D16:D25)</f>
        <v>3839</v>
      </c>
      <c r="E26" s="149" t="e">
        <f>SUM(D16:E25)-#REF!-#REF!</f>
        <v>#REF!</v>
      </c>
      <c r="F26" s="150"/>
      <c r="G26" s="150"/>
      <c r="H26" s="150"/>
      <c r="I26" s="187"/>
      <c r="J26" s="433">
        <f>SUM(J16:J25)</f>
        <v>1169735.1600000001</v>
      </c>
      <c r="K26" s="434"/>
      <c r="L26" s="151"/>
      <c r="M26" s="152">
        <f>SUM(M16:M25)</f>
        <v>748654.35954240058</v>
      </c>
      <c r="N26" s="435">
        <f>SUM(N16:N25)</f>
        <v>178625.93</v>
      </c>
      <c r="O26" s="436"/>
      <c r="P26" s="152">
        <f>SUM(P16:P25)</f>
        <v>397870.29795291554</v>
      </c>
      <c r="Q26" s="152">
        <v>0</v>
      </c>
      <c r="R26" s="437">
        <f>SUM(R16:S25)</f>
        <v>320390.51</v>
      </c>
      <c r="S26" s="438"/>
      <c r="T26" s="37"/>
      <c r="U26" s="136"/>
      <c r="V26" s="137"/>
    </row>
    <row r="27" spans="1:62" ht="34.5" customHeight="1" x14ac:dyDescent="0.2">
      <c r="A27" s="449" t="s">
        <v>27</v>
      </c>
      <c r="B27" s="450"/>
      <c r="C27" s="450"/>
      <c r="D27" s="450"/>
      <c r="E27" s="450"/>
      <c r="F27" s="450"/>
      <c r="G27" s="450"/>
      <c r="H27" s="450"/>
      <c r="I27" s="450"/>
      <c r="J27" s="450"/>
      <c r="K27" s="450"/>
      <c r="L27" s="450"/>
      <c r="M27" s="450"/>
      <c r="N27" s="450"/>
      <c r="O27" s="450"/>
      <c r="P27" s="450"/>
      <c r="Q27" s="450"/>
      <c r="R27" s="450"/>
      <c r="S27" s="450"/>
      <c r="T27" s="451"/>
    </row>
    <row r="28" spans="1:62" s="101" customFormat="1" ht="45" customHeight="1" x14ac:dyDescent="0.2">
      <c r="A28" s="141">
        <v>1</v>
      </c>
      <c r="B28" s="55" t="s">
        <v>52</v>
      </c>
      <c r="C28" s="341">
        <v>581</v>
      </c>
      <c r="D28" s="342"/>
      <c r="E28" s="16" t="s">
        <v>39</v>
      </c>
      <c r="F28" s="61" t="s">
        <v>76</v>
      </c>
      <c r="G28" s="61" t="s">
        <v>76</v>
      </c>
      <c r="H28" s="73" t="s">
        <v>7</v>
      </c>
      <c r="I28" s="63">
        <v>1989</v>
      </c>
      <c r="J28" s="355">
        <v>84544</v>
      </c>
      <c r="K28" s="356"/>
      <c r="L28" s="98"/>
      <c r="M28" s="345">
        <v>1973.18</v>
      </c>
      <c r="N28" s="345"/>
      <c r="O28" s="62">
        <v>0</v>
      </c>
      <c r="P28" s="62">
        <v>1973.18</v>
      </c>
      <c r="Q28" s="62">
        <f>0</f>
        <v>0</v>
      </c>
      <c r="R28" s="343">
        <f>0</f>
        <v>0</v>
      </c>
      <c r="S28" s="344"/>
      <c r="T28" s="62">
        <f>J28/C28</f>
        <v>145.5146299483649</v>
      </c>
    </row>
    <row r="29" spans="1:62" s="101" customFormat="1" ht="46.5" customHeight="1" x14ac:dyDescent="0.3">
      <c r="A29" s="141">
        <v>2</v>
      </c>
      <c r="B29" s="55" t="s">
        <v>53</v>
      </c>
      <c r="C29" s="16">
        <v>405</v>
      </c>
      <c r="D29" s="61"/>
      <c r="E29" s="61" t="s">
        <v>39</v>
      </c>
      <c r="F29" s="61" t="s">
        <v>76</v>
      </c>
      <c r="G29" s="61" t="s">
        <v>76</v>
      </c>
      <c r="H29" s="61" t="s">
        <v>7</v>
      </c>
      <c r="I29" s="98">
        <v>1979</v>
      </c>
      <c r="J29" s="355">
        <v>68226</v>
      </c>
      <c r="K29" s="356"/>
      <c r="L29" s="18">
        <v>0.9</v>
      </c>
      <c r="M29" s="3">
        <f>P29</f>
        <v>2028.02</v>
      </c>
      <c r="N29" s="355">
        <v>0</v>
      </c>
      <c r="O29" s="356"/>
      <c r="P29" s="3">
        <f>'[1]Подрядный способ'!$J$5</f>
        <v>2028.02</v>
      </c>
      <c r="Q29" s="100">
        <f>0</f>
        <v>0</v>
      </c>
      <c r="R29" s="343">
        <f>0</f>
        <v>0</v>
      </c>
      <c r="S29" s="344"/>
      <c r="T29" s="3">
        <f>J29/C29</f>
        <v>168.45925925925926</v>
      </c>
    </row>
    <row r="30" spans="1:62" ht="27.75" customHeight="1" x14ac:dyDescent="0.3">
      <c r="A30" s="7"/>
      <c r="B30" s="159" t="s">
        <v>118</v>
      </c>
      <c r="C30" s="226">
        <f>SUM(C28:C29)</f>
        <v>986</v>
      </c>
      <c r="D30" s="33"/>
      <c r="E30" s="33"/>
      <c r="F30" s="33"/>
      <c r="G30" s="33"/>
      <c r="H30" s="33"/>
      <c r="I30" s="188"/>
      <c r="J30" s="433">
        <f>SUM(J28:K29)</f>
        <v>152770</v>
      </c>
      <c r="K30" s="434"/>
      <c r="L30" s="36"/>
      <c r="M30" s="37">
        <f>SUM(M28:M29)</f>
        <v>4001.2</v>
      </c>
      <c r="N30" s="433">
        <f>SUM(N28:O29)</f>
        <v>0</v>
      </c>
      <c r="O30" s="434"/>
      <c r="P30" s="37">
        <f>Q30+R30+T30</f>
        <v>0</v>
      </c>
      <c r="Q30" s="66">
        <f>SUM(Q26:Q29)</f>
        <v>0</v>
      </c>
      <c r="R30" s="376">
        <f>SUM(R28:S29)</f>
        <v>0</v>
      </c>
      <c r="S30" s="455"/>
      <c r="T30" s="37"/>
    </row>
    <row r="31" spans="1:62" ht="0.75" customHeight="1" x14ac:dyDescent="0.2">
      <c r="A31" s="337" t="s">
        <v>28</v>
      </c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9"/>
    </row>
    <row r="32" spans="1:62" ht="28.5" customHeight="1" x14ac:dyDescent="0.3">
      <c r="A32" s="229"/>
      <c r="B32" s="231"/>
      <c r="C32" s="231"/>
      <c r="D32" s="231"/>
      <c r="E32" s="231"/>
      <c r="F32" s="231"/>
      <c r="G32" s="231"/>
      <c r="H32" s="231"/>
      <c r="I32" s="231"/>
      <c r="J32" s="231"/>
      <c r="K32" s="232"/>
      <c r="L32" s="232"/>
      <c r="M32" s="232"/>
      <c r="N32" s="232"/>
      <c r="O32" s="232"/>
      <c r="P32" s="232"/>
      <c r="Q32" s="232"/>
      <c r="R32" s="232"/>
      <c r="S32" s="232"/>
      <c r="T32" s="232"/>
    </row>
    <row r="33" spans="2:20" x14ac:dyDescent="0.2">
      <c r="B33" s="233"/>
      <c r="C33" s="233"/>
      <c r="D33" s="233"/>
      <c r="E33" s="233"/>
      <c r="F33" s="233"/>
      <c r="G33" s="233"/>
      <c r="H33" s="233"/>
      <c r="I33" s="233"/>
      <c r="J33" s="233"/>
      <c r="K33" s="165"/>
      <c r="L33" s="165"/>
      <c r="M33" s="165"/>
      <c r="N33" s="165"/>
      <c r="O33" s="165"/>
      <c r="P33" s="165"/>
      <c r="Q33" s="165"/>
      <c r="R33" s="165"/>
      <c r="S33" s="165"/>
      <c r="T33" s="165"/>
    </row>
    <row r="34" spans="2:20" ht="26.25" x14ac:dyDescent="0.4">
      <c r="B34" s="231" t="s">
        <v>96</v>
      </c>
      <c r="C34" s="231"/>
      <c r="D34" s="231"/>
      <c r="E34" s="231"/>
      <c r="F34" s="231"/>
      <c r="G34" s="231"/>
      <c r="H34" s="231" t="s">
        <v>45</v>
      </c>
      <c r="I34" s="231"/>
      <c r="J34" s="231" t="s">
        <v>45</v>
      </c>
      <c r="K34" s="231"/>
      <c r="L34" s="231"/>
      <c r="M34" s="231"/>
      <c r="N34" s="233"/>
      <c r="O34" s="233"/>
      <c r="P34" s="165"/>
      <c r="Q34" s="234"/>
      <c r="R34" s="234"/>
      <c r="S34" s="165"/>
      <c r="T34" s="235"/>
    </row>
    <row r="35" spans="2:20" ht="15.75" customHeight="1" x14ac:dyDescent="0.3">
      <c r="J35" s="241"/>
      <c r="K35" s="148"/>
      <c r="L35" s="148"/>
      <c r="M35" s="148"/>
      <c r="N35" s="148"/>
      <c r="O35" s="148"/>
    </row>
    <row r="36" spans="2:20" ht="19.5" customHeight="1" x14ac:dyDescent="0.4">
      <c r="B36" s="459" t="s">
        <v>40</v>
      </c>
      <c r="C36" s="459"/>
      <c r="D36" s="459"/>
      <c r="E36" s="459"/>
      <c r="F36" s="460" t="s">
        <v>45</v>
      </c>
      <c r="G36" s="460"/>
      <c r="J36" s="231" t="s">
        <v>121</v>
      </c>
      <c r="K36" s="148"/>
      <c r="L36" s="148"/>
      <c r="M36" s="148"/>
      <c r="N36" s="148"/>
      <c r="O36" s="148"/>
    </row>
    <row r="37" spans="2:20" ht="27" customHeight="1" x14ac:dyDescent="0.4">
      <c r="B37" s="459" t="s">
        <v>50</v>
      </c>
      <c r="C37" s="459"/>
      <c r="D37" s="246"/>
      <c r="E37" s="246"/>
      <c r="F37" s="247"/>
      <c r="G37" s="247"/>
      <c r="J37" s="231" t="s">
        <v>122</v>
      </c>
      <c r="K37" s="147"/>
      <c r="L37" s="147"/>
      <c r="M37" s="147"/>
      <c r="N37" s="147"/>
      <c r="O37" s="147"/>
    </row>
    <row r="38" spans="2:20" ht="30" x14ac:dyDescent="0.4">
      <c r="B38" s="459"/>
      <c r="C38" s="459"/>
      <c r="D38" s="238"/>
      <c r="E38" s="238"/>
      <c r="F38" s="461" t="s">
        <v>121</v>
      </c>
      <c r="G38" s="461"/>
      <c r="H38" s="148"/>
      <c r="I38" s="148"/>
      <c r="J38" s="148"/>
      <c r="K38" s="148"/>
      <c r="L38" s="148"/>
      <c r="M38" s="148"/>
      <c r="N38" s="148"/>
      <c r="O38" s="148"/>
    </row>
    <row r="39" spans="2:20" ht="12.75" customHeight="1" x14ac:dyDescent="0.4">
      <c r="B39" s="231"/>
      <c r="C39" s="248"/>
      <c r="D39" s="238"/>
      <c r="E39" s="238"/>
      <c r="F39" s="460"/>
      <c r="G39" s="460"/>
      <c r="H39" s="148"/>
      <c r="I39" s="148"/>
      <c r="J39" s="148"/>
      <c r="K39" s="148"/>
      <c r="L39" s="148"/>
      <c r="M39" s="148"/>
      <c r="N39" s="148"/>
      <c r="O39" s="148"/>
    </row>
    <row r="40" spans="2:20" ht="30" x14ac:dyDescent="0.4">
      <c r="B40" s="459"/>
      <c r="C40" s="459"/>
      <c r="D40" s="238"/>
      <c r="E40" s="238"/>
      <c r="F40" s="460" t="s">
        <v>119</v>
      </c>
      <c r="G40" s="460"/>
    </row>
  </sheetData>
  <mergeCells count="73">
    <mergeCell ref="B40:C40"/>
    <mergeCell ref="F40:G40"/>
    <mergeCell ref="B37:C37"/>
    <mergeCell ref="B36:E36"/>
    <mergeCell ref="F36:G36"/>
    <mergeCell ref="B38:C38"/>
    <mergeCell ref="F38:G38"/>
    <mergeCell ref="F39:G39"/>
    <mergeCell ref="B7:I7"/>
    <mergeCell ref="D14:E14"/>
    <mergeCell ref="G14:H14"/>
    <mergeCell ref="J14:K14"/>
    <mergeCell ref="N14:O14"/>
    <mergeCell ref="R14:S14"/>
    <mergeCell ref="A15:T15"/>
    <mergeCell ref="G11:H11"/>
    <mergeCell ref="G12:H12"/>
    <mergeCell ref="G13:H13"/>
    <mergeCell ref="A9:A13"/>
    <mergeCell ref="B9:B13"/>
    <mergeCell ref="C9:C13"/>
    <mergeCell ref="D9:E13"/>
    <mergeCell ref="F9:H10"/>
    <mergeCell ref="I9:I13"/>
    <mergeCell ref="T9:T13"/>
    <mergeCell ref="J9:J13"/>
    <mergeCell ref="D16:E16"/>
    <mergeCell ref="J16:K16"/>
    <mergeCell ref="N16:O16"/>
    <mergeCell ref="R16:S16"/>
    <mergeCell ref="D17:E17"/>
    <mergeCell ref="G17:H17"/>
    <mergeCell ref="J17:K17"/>
    <mergeCell ref="N17:O17"/>
    <mergeCell ref="R17:S17"/>
    <mergeCell ref="D18:E18"/>
    <mergeCell ref="G18:H18"/>
    <mergeCell ref="J18:K18"/>
    <mergeCell ref="N18:O18"/>
    <mergeCell ref="R18:S18"/>
    <mergeCell ref="A26:B26"/>
    <mergeCell ref="J26:K26"/>
    <mergeCell ref="N26:O26"/>
    <mergeCell ref="R26:S26"/>
    <mergeCell ref="D19:E19"/>
    <mergeCell ref="G19:H19"/>
    <mergeCell ref="J19:K19"/>
    <mergeCell ref="N19:O19"/>
    <mergeCell ref="R19:S19"/>
    <mergeCell ref="D20:E20"/>
    <mergeCell ref="G20:H20"/>
    <mergeCell ref="J20:K20"/>
    <mergeCell ref="N20:O20"/>
    <mergeCell ref="R20:S20"/>
    <mergeCell ref="J21:K21"/>
    <mergeCell ref="N21:O21"/>
    <mergeCell ref="R21:S21"/>
    <mergeCell ref="R22:S22"/>
    <mergeCell ref="R23:S23"/>
    <mergeCell ref="R24:S24"/>
    <mergeCell ref="R25:S25"/>
    <mergeCell ref="A31:T31"/>
    <mergeCell ref="J30:K30"/>
    <mergeCell ref="N30:O30"/>
    <mergeCell ref="R30:S30"/>
    <mergeCell ref="A27:T27"/>
    <mergeCell ref="C28:D28"/>
    <mergeCell ref="J28:K28"/>
    <mergeCell ref="M28:N28"/>
    <mergeCell ref="R28:S28"/>
    <mergeCell ref="J29:K29"/>
    <mergeCell ref="N29:O29"/>
    <mergeCell ref="R29:S29"/>
  </mergeCells>
  <pageMargins left="0" right="0" top="0" bottom="0" header="0" footer="0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BZ75"/>
  <sheetViews>
    <sheetView topLeftCell="B26" zoomScale="69" zoomScaleNormal="69" zoomScalePageLayoutView="60" workbookViewId="0">
      <selection activeCell="I30" sqref="I30:S31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1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6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0" t="s">
        <v>59</v>
      </c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0"/>
    </row>
    <row r="8" spans="1:16302" ht="11.25" customHeight="1" x14ac:dyDescent="0.2">
      <c r="A8" s="10"/>
    </row>
    <row r="9" spans="1:16302" ht="43.5" customHeight="1" x14ac:dyDescent="0.2">
      <c r="A9" s="392" t="s">
        <v>4</v>
      </c>
      <c r="B9" s="411" t="s">
        <v>14</v>
      </c>
      <c r="C9" s="414" t="s">
        <v>15</v>
      </c>
      <c r="D9" s="411" t="s">
        <v>16</v>
      </c>
      <c r="E9" s="417"/>
      <c r="F9" s="411" t="s">
        <v>17</v>
      </c>
      <c r="G9" s="420"/>
      <c r="H9" s="417"/>
      <c r="I9" s="341" t="s">
        <v>18</v>
      </c>
      <c r="J9" s="422"/>
      <c r="K9" s="422"/>
      <c r="L9" s="342"/>
      <c r="M9" s="411" t="s">
        <v>65</v>
      </c>
      <c r="N9" s="417"/>
      <c r="O9" s="341" t="s">
        <v>68</v>
      </c>
      <c r="P9" s="422"/>
      <c r="Q9" s="422"/>
      <c r="R9" s="422"/>
      <c r="S9" s="342"/>
    </row>
    <row r="10" spans="1:16302" ht="18.75" customHeight="1" x14ac:dyDescent="0.2">
      <c r="A10" s="393"/>
      <c r="B10" s="412"/>
      <c r="C10" s="415"/>
      <c r="D10" s="412"/>
      <c r="E10" s="418"/>
      <c r="F10" s="413"/>
      <c r="G10" s="421"/>
      <c r="H10" s="419"/>
      <c r="I10" s="341" t="s">
        <v>77</v>
      </c>
      <c r="J10" s="422"/>
      <c r="K10" s="422"/>
      <c r="L10" s="342"/>
      <c r="M10" s="412"/>
      <c r="N10" s="418"/>
      <c r="O10" s="428" t="s">
        <v>19</v>
      </c>
      <c r="P10" s="422"/>
      <c r="Q10" s="422"/>
      <c r="R10" s="422"/>
      <c r="S10" s="342"/>
    </row>
    <row r="11" spans="1:16302" ht="18.75" customHeight="1" x14ac:dyDescent="0.2">
      <c r="A11" s="393"/>
      <c r="B11" s="412"/>
      <c r="C11" s="415"/>
      <c r="D11" s="412"/>
      <c r="E11" s="418"/>
      <c r="F11" s="61" t="s">
        <v>20</v>
      </c>
      <c r="G11" s="341" t="s">
        <v>21</v>
      </c>
      <c r="H11" s="342"/>
      <c r="I11" s="411" t="s">
        <v>22</v>
      </c>
      <c r="J11" s="417"/>
      <c r="K11" s="61"/>
      <c r="L11" s="414" t="s">
        <v>23</v>
      </c>
      <c r="M11" s="412"/>
      <c r="N11" s="418"/>
      <c r="O11" s="429"/>
      <c r="P11" s="417" t="s">
        <v>66</v>
      </c>
      <c r="Q11" s="411" t="s">
        <v>67</v>
      </c>
      <c r="R11" s="420"/>
      <c r="S11" s="417"/>
    </row>
    <row r="12" spans="1:16302" ht="18.75" customHeight="1" x14ac:dyDescent="0.2">
      <c r="A12" s="393"/>
      <c r="B12" s="412"/>
      <c r="C12" s="415"/>
      <c r="D12" s="412"/>
      <c r="E12" s="418"/>
      <c r="F12" s="61" t="s">
        <v>69</v>
      </c>
      <c r="G12" s="341" t="s">
        <v>69</v>
      </c>
      <c r="H12" s="342"/>
      <c r="I12" s="412"/>
      <c r="J12" s="418"/>
      <c r="K12" s="61"/>
      <c r="L12" s="415"/>
      <c r="M12" s="412"/>
      <c r="N12" s="418"/>
      <c r="O12" s="429"/>
      <c r="P12" s="418"/>
      <c r="Q12" s="413"/>
      <c r="R12" s="421"/>
      <c r="S12" s="419"/>
    </row>
    <row r="13" spans="1:16302" ht="95.25" customHeight="1" x14ac:dyDescent="0.2">
      <c r="A13" s="394"/>
      <c r="B13" s="413"/>
      <c r="C13" s="416"/>
      <c r="D13" s="413"/>
      <c r="E13" s="419"/>
      <c r="F13" s="61" t="s">
        <v>63</v>
      </c>
      <c r="G13" s="341" t="s">
        <v>64</v>
      </c>
      <c r="H13" s="342"/>
      <c r="I13" s="413"/>
      <c r="J13" s="419"/>
      <c r="K13" s="61"/>
      <c r="L13" s="416"/>
      <c r="M13" s="413"/>
      <c r="N13" s="419"/>
      <c r="O13" s="430"/>
      <c r="P13" s="419"/>
      <c r="Q13" s="341" t="s">
        <v>24</v>
      </c>
      <c r="R13" s="342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23">
        <v>4</v>
      </c>
      <c r="E14" s="424"/>
      <c r="F14" s="141">
        <v>5</v>
      </c>
      <c r="G14" s="423">
        <v>6</v>
      </c>
      <c r="H14" s="424"/>
      <c r="I14" s="423">
        <v>7</v>
      </c>
      <c r="J14" s="424"/>
      <c r="K14" s="141"/>
      <c r="L14" s="141">
        <v>8</v>
      </c>
      <c r="M14" s="423">
        <v>9</v>
      </c>
      <c r="N14" s="424"/>
      <c r="O14" s="166">
        <v>10</v>
      </c>
      <c r="P14" s="167">
        <v>11</v>
      </c>
      <c r="Q14" s="423">
        <v>12</v>
      </c>
      <c r="R14" s="424"/>
      <c r="S14" s="146">
        <v>13</v>
      </c>
    </row>
    <row r="15" spans="1:16302" ht="23.25" customHeight="1" x14ac:dyDescent="0.2">
      <c r="A15" s="425" t="s">
        <v>26</v>
      </c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7"/>
    </row>
    <row r="16" spans="1:16302" ht="65.25" customHeight="1" x14ac:dyDescent="0.3">
      <c r="A16" s="14">
        <v>1</v>
      </c>
      <c r="B16" s="15" t="s">
        <v>48</v>
      </c>
      <c r="C16" s="16">
        <v>567</v>
      </c>
      <c r="D16" s="374">
        <v>567</v>
      </c>
      <c r="E16" s="375"/>
      <c r="F16" s="73" t="s">
        <v>76</v>
      </c>
      <c r="G16" s="73"/>
      <c r="H16" s="73" t="s">
        <v>75</v>
      </c>
      <c r="I16" s="355">
        <v>71245.2</v>
      </c>
      <c r="J16" s="356"/>
      <c r="K16" s="87">
        <v>0.9</v>
      </c>
      <c r="L16" s="3">
        <v>64800</v>
      </c>
      <c r="M16" s="330">
        <v>64742.8</v>
      </c>
      <c r="N16" s="331"/>
      <c r="O16" s="40">
        <f>Q16+S16</f>
        <v>6502.4</v>
      </c>
      <c r="P16" s="100">
        <f>0</f>
        <v>0</v>
      </c>
      <c r="Q16" s="343">
        <f>0</f>
        <v>0</v>
      </c>
      <c r="R16" s="344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16">
        <v>377</v>
      </c>
      <c r="D17" s="374">
        <v>377</v>
      </c>
      <c r="E17" s="375"/>
      <c r="F17" s="73" t="s">
        <v>76</v>
      </c>
      <c r="G17" s="340" t="s">
        <v>11</v>
      </c>
      <c r="H17" s="334"/>
      <c r="I17" s="355">
        <v>106395</v>
      </c>
      <c r="J17" s="356"/>
      <c r="K17" s="88">
        <v>0.9</v>
      </c>
      <c r="L17" s="62">
        <v>90679.51</v>
      </c>
      <c r="M17" s="343">
        <v>3484.21</v>
      </c>
      <c r="N17" s="344"/>
      <c r="O17" s="50">
        <f>Q17+S17</f>
        <v>92679.51</v>
      </c>
      <c r="P17" s="100">
        <f>0</f>
        <v>0</v>
      </c>
      <c r="Q17" s="355">
        <v>72000</v>
      </c>
      <c r="R17" s="356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16">
        <v>502</v>
      </c>
      <c r="D18" s="374">
        <v>502</v>
      </c>
      <c r="E18" s="375"/>
      <c r="F18" s="73" t="s">
        <v>76</v>
      </c>
      <c r="G18" s="340" t="s">
        <v>11</v>
      </c>
      <c r="H18" s="334"/>
      <c r="I18" s="355">
        <v>110501.12</v>
      </c>
      <c r="J18" s="356"/>
      <c r="K18" s="88">
        <v>0.9</v>
      </c>
      <c r="L18" s="62">
        <v>82800</v>
      </c>
      <c r="M18" s="343">
        <f>5555.65+15059.6</f>
        <v>20615.25</v>
      </c>
      <c r="N18" s="344"/>
      <c r="O18" s="40">
        <f>Q18+S18</f>
        <v>72335</v>
      </c>
      <c r="P18" s="100">
        <f>0</f>
        <v>0</v>
      </c>
      <c r="Q18" s="355">
        <v>43335</v>
      </c>
      <c r="R18" s="356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16">
        <v>1064</v>
      </c>
      <c r="D19" s="374">
        <v>1064</v>
      </c>
      <c r="E19" s="375"/>
      <c r="F19" s="73" t="s">
        <v>76</v>
      </c>
      <c r="G19" s="340" t="s">
        <v>12</v>
      </c>
      <c r="H19" s="334"/>
      <c r="I19" s="355">
        <v>99278</v>
      </c>
      <c r="J19" s="356"/>
      <c r="K19" s="88">
        <v>0.9</v>
      </c>
      <c r="L19" s="62">
        <f>I19-(I19*0.9%)</f>
        <v>98384.498000000007</v>
      </c>
      <c r="M19" s="343">
        <v>19541</v>
      </c>
      <c r="N19" s="344"/>
      <c r="O19" s="50">
        <f>Q19+S19</f>
        <v>51137.880000000005</v>
      </c>
      <c r="P19" s="100">
        <f>0</f>
        <v>0</v>
      </c>
      <c r="Q19" s="355">
        <v>40298.870000000003</v>
      </c>
      <c r="R19" s="356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51" t="s">
        <v>38</v>
      </c>
      <c r="C20" s="77">
        <v>1329</v>
      </c>
      <c r="D20" s="357">
        <v>1329</v>
      </c>
      <c r="E20" s="358"/>
      <c r="F20" s="61" t="s">
        <v>76</v>
      </c>
      <c r="G20" s="411" t="s">
        <v>11</v>
      </c>
      <c r="H20" s="417"/>
      <c r="I20" s="355">
        <v>167041.60000000001</v>
      </c>
      <c r="J20" s="356"/>
      <c r="K20" s="93">
        <v>0.9</v>
      </c>
      <c r="L20" s="62">
        <v>118049.25</v>
      </c>
      <c r="M20" s="361">
        <f>46.05+7000+143.54+167.29+125+7500</f>
        <v>14981.880000000001</v>
      </c>
      <c r="N20" s="362"/>
      <c r="O20" s="62">
        <f>Q20+S20</f>
        <v>103000</v>
      </c>
      <c r="P20" s="100">
        <f>0</f>
        <v>0</v>
      </c>
      <c r="Q20" s="355">
        <f>72163-15000</f>
        <v>57163</v>
      </c>
      <c r="R20" s="356"/>
      <c r="S20" s="3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16">
        <v>549</v>
      </c>
      <c r="D21" s="61"/>
      <c r="E21" s="16">
        <f>C21</f>
        <v>549</v>
      </c>
      <c r="F21" s="61" t="s">
        <v>76</v>
      </c>
      <c r="G21" s="61"/>
      <c r="H21" s="61" t="s">
        <v>11</v>
      </c>
      <c r="I21" s="355">
        <v>104103</v>
      </c>
      <c r="J21" s="356"/>
      <c r="K21" s="87">
        <v>0.9</v>
      </c>
      <c r="L21" s="62">
        <v>93692.7</v>
      </c>
      <c r="M21" s="355">
        <f>40350.59+14910.2</f>
        <v>55260.789999999994</v>
      </c>
      <c r="N21" s="356"/>
      <c r="O21" s="3">
        <f>P21+Q21+S21</f>
        <v>35000</v>
      </c>
      <c r="P21" s="100">
        <f>0</f>
        <v>0</v>
      </c>
      <c r="Q21" s="355">
        <f>0</f>
        <v>0</v>
      </c>
      <c r="R21" s="35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14">
        <v>7</v>
      </c>
      <c r="B22" s="55" t="s">
        <v>10</v>
      </c>
      <c r="C22" s="16">
        <v>1717</v>
      </c>
      <c r="D22" s="61"/>
      <c r="E22" s="16">
        <f>C22</f>
        <v>1717</v>
      </c>
      <c r="F22" s="61" t="s">
        <v>11</v>
      </c>
      <c r="G22" s="61"/>
      <c r="H22" s="61" t="s">
        <v>7</v>
      </c>
      <c r="I22" s="197">
        <v>170000</v>
      </c>
      <c r="J22" s="97">
        <f>SUM(I22)</f>
        <v>170000</v>
      </c>
      <c r="K22" s="18">
        <v>0.9</v>
      </c>
      <c r="L22" s="62">
        <f>O22</f>
        <v>166215.82</v>
      </c>
      <c r="M22" s="85"/>
      <c r="N22" s="97">
        <v>0</v>
      </c>
      <c r="O22" s="3">
        <f>Q22+S22</f>
        <v>166215.82</v>
      </c>
      <c r="P22" s="100">
        <f>0</f>
        <v>0</v>
      </c>
      <c r="Q22" s="355">
        <f>37800+10349.82-19000</f>
        <v>29149.82</v>
      </c>
      <c r="R22" s="356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16">
        <v>711.8</v>
      </c>
      <c r="D23" s="61"/>
      <c r="E23" s="16">
        <f>C23</f>
        <v>711.8</v>
      </c>
      <c r="F23" s="61" t="s">
        <v>12</v>
      </c>
      <c r="G23" s="61" t="s">
        <v>9</v>
      </c>
      <c r="H23" s="61" t="s">
        <v>9</v>
      </c>
      <c r="I23" s="197">
        <v>103300</v>
      </c>
      <c r="J23" s="97">
        <f>SUM(I23)</f>
        <v>103300</v>
      </c>
      <c r="K23" s="18">
        <v>0.9</v>
      </c>
      <c r="L23" s="62">
        <f>I23-(I23*0.9%)</f>
        <v>102370.3</v>
      </c>
      <c r="M23" s="85"/>
      <c r="N23" s="97">
        <v>0</v>
      </c>
      <c r="O23" s="3">
        <f>Q23+S23</f>
        <v>86077.3</v>
      </c>
      <c r="P23" s="100">
        <f>0</f>
        <v>0</v>
      </c>
      <c r="Q23" s="355">
        <f>23000+19000+15536.08-20000-6203</f>
        <v>31333.08</v>
      </c>
      <c r="R23" s="356"/>
      <c r="S23" s="3">
        <f>80000-3255.78-22000</f>
        <v>54744.22</v>
      </c>
    </row>
    <row r="24" spans="1:61" ht="55.5" customHeight="1" x14ac:dyDescent="0.3">
      <c r="A24" s="14">
        <v>9</v>
      </c>
      <c r="B24" s="56" t="s">
        <v>82</v>
      </c>
      <c r="C24" s="16">
        <v>610</v>
      </c>
      <c r="D24" s="61"/>
      <c r="E24" s="16">
        <f>C24</f>
        <v>610</v>
      </c>
      <c r="F24" s="61" t="s">
        <v>12</v>
      </c>
      <c r="G24" s="61" t="s">
        <v>9</v>
      </c>
      <c r="H24" s="61" t="s">
        <v>9</v>
      </c>
      <c r="I24" s="197">
        <f>L24*1.1</f>
        <v>97726.200000000012</v>
      </c>
      <c r="J24" s="97">
        <f>SUM(I24)</f>
        <v>97726.200000000012</v>
      </c>
      <c r="K24" s="18">
        <v>0.9</v>
      </c>
      <c r="L24" s="3">
        <f>O24</f>
        <v>88842</v>
      </c>
      <c r="M24" s="85"/>
      <c r="N24" s="97">
        <v>0</v>
      </c>
      <c r="O24" s="3">
        <f>Q24+S24</f>
        <v>88842</v>
      </c>
      <c r="P24" s="100">
        <f>0</f>
        <v>0</v>
      </c>
      <c r="Q24" s="355">
        <f>19000+10000+2609.49-20000+23978.71-8126.2-6203</f>
        <v>21258.999999999996</v>
      </c>
      <c r="R24" s="356"/>
      <c r="S24" s="3">
        <v>67583</v>
      </c>
    </row>
    <row r="25" spans="1:61" ht="53.25" customHeight="1" x14ac:dyDescent="0.3">
      <c r="A25" s="14">
        <v>10</v>
      </c>
      <c r="B25" s="55" t="s">
        <v>58</v>
      </c>
      <c r="C25" s="16">
        <v>601</v>
      </c>
      <c r="D25" s="61"/>
      <c r="E25" s="16">
        <f>C25</f>
        <v>601</v>
      </c>
      <c r="F25" s="61" t="s">
        <v>8</v>
      </c>
      <c r="G25" s="61"/>
      <c r="H25" s="61" t="s">
        <v>13</v>
      </c>
      <c r="I25" s="197">
        <v>95000</v>
      </c>
      <c r="J25" s="97">
        <f>SUM(I25)</f>
        <v>95000</v>
      </c>
      <c r="K25" s="18">
        <v>0.9</v>
      </c>
      <c r="L25" s="3">
        <f>O25</f>
        <v>93435.400000000009</v>
      </c>
      <c r="M25" s="85"/>
      <c r="N25" s="97">
        <v>0</v>
      </c>
      <c r="O25" s="3">
        <f>Q25+S25</f>
        <v>93435.400000000009</v>
      </c>
      <c r="P25" s="100">
        <f>0</f>
        <v>0</v>
      </c>
      <c r="Q25" s="355">
        <f>22000+38000-944.77-27000-6203-0.49</f>
        <v>25851.74</v>
      </c>
      <c r="R25" s="356"/>
      <c r="S25" s="3">
        <f>47005-578.66+1157.32+20000</f>
        <v>67583.66</v>
      </c>
    </row>
    <row r="26" spans="1:61" ht="42" customHeight="1" x14ac:dyDescent="0.3">
      <c r="A26" s="431"/>
      <c r="B26" s="432"/>
      <c r="C26" s="149">
        <f>SUM(C16:C25)</f>
        <v>8027.8</v>
      </c>
      <c r="D26" s="149">
        <f>SUM(D16:D25)</f>
        <v>3839</v>
      </c>
      <c r="E26" s="149">
        <v>8027.8</v>
      </c>
      <c r="F26" s="150"/>
      <c r="G26" s="150"/>
      <c r="H26" s="150"/>
      <c r="I26" s="433">
        <f>SUM(I16:I25)</f>
        <v>1124590.1200000001</v>
      </c>
      <c r="J26" s="434"/>
      <c r="K26" s="151"/>
      <c r="L26" s="152">
        <f>SUM(L16:L25)</f>
        <v>999269.478</v>
      </c>
      <c r="M26" s="435">
        <f>SUM(M16:M25)</f>
        <v>178625.93</v>
      </c>
      <c r="N26" s="436"/>
      <c r="O26" s="152">
        <f>SUM(O16:O25)</f>
        <v>795225.31</v>
      </c>
      <c r="P26" s="152">
        <v>0</v>
      </c>
      <c r="Q26" s="437">
        <f>SUM(Q16:R25)</f>
        <v>320390.51</v>
      </c>
      <c r="R26" s="438"/>
      <c r="S26" s="37">
        <f>SUM(S16:S25)</f>
        <v>474834.80000000005</v>
      </c>
      <c r="T26" s="200"/>
      <c r="U26" s="137">
        <f>Q26-400000</f>
        <v>-79609.489999999991</v>
      </c>
    </row>
    <row r="27" spans="1:61" ht="51.75" hidden="1" customHeight="1" x14ac:dyDescent="0.2">
      <c r="A27" s="14"/>
      <c r="B27" s="55" t="s">
        <v>46</v>
      </c>
      <c r="C27" s="445"/>
      <c r="D27" s="446"/>
      <c r="E27" s="138"/>
      <c r="F27" s="445"/>
      <c r="G27" s="446"/>
      <c r="H27" s="14"/>
      <c r="I27" s="445"/>
      <c r="J27" s="446"/>
      <c r="K27" s="14"/>
      <c r="L27" s="445"/>
      <c r="M27" s="446"/>
      <c r="N27" s="14"/>
      <c r="O27" s="139"/>
      <c r="P27" s="12"/>
      <c r="Q27" s="447"/>
      <c r="R27" s="446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448"/>
      <c r="R28" s="448"/>
      <c r="S28" s="62">
        <v>258297.66</v>
      </c>
      <c r="T28" s="192"/>
    </row>
    <row r="29" spans="1:61" ht="26.25" customHeight="1" x14ac:dyDescent="0.2">
      <c r="A29" s="14"/>
      <c r="B29" s="425" t="s">
        <v>104</v>
      </c>
      <c r="C29" s="426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  <c r="S29" s="427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55">
        <v>113514</v>
      </c>
      <c r="J30" s="356"/>
      <c r="K30" s="3">
        <v>0.9</v>
      </c>
      <c r="L30" s="62">
        <f>M30+O30</f>
        <v>80869.570000000007</v>
      </c>
      <c r="M30" s="343">
        <v>30355.200000000001</v>
      </c>
      <c r="N30" s="344"/>
      <c r="O30" s="62">
        <f>Q30+S30</f>
        <v>50514.37</v>
      </c>
      <c r="P30" s="100">
        <f>0</f>
        <v>0</v>
      </c>
      <c r="Q30" s="355">
        <v>50514.37</v>
      </c>
      <c r="R30" s="35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v>64634.74</v>
      </c>
      <c r="M31" s="85"/>
      <c r="N31" s="97">
        <v>28220</v>
      </c>
      <c r="O31" s="62">
        <f>Q31+S31</f>
        <v>29095.119999999999</v>
      </c>
      <c r="P31" s="100">
        <f>0</f>
        <v>0</v>
      </c>
      <c r="Q31" s="355">
        <v>29095.119999999999</v>
      </c>
      <c r="R31" s="356"/>
      <c r="S31" s="3">
        <v>0</v>
      </c>
    </row>
    <row r="32" spans="1:61" ht="26.25" customHeight="1" x14ac:dyDescent="0.2">
      <c r="A32" s="431" t="s">
        <v>94</v>
      </c>
      <c r="B32" s="432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 t="shared" ref="I32:O32" si="0">I26+I30+I31</f>
        <v>1312882.1200000001</v>
      </c>
      <c r="J32" s="155">
        <f t="shared" si="0"/>
        <v>74778</v>
      </c>
      <c r="K32" s="155">
        <f t="shared" si="0"/>
        <v>0.9</v>
      </c>
      <c r="L32" s="155">
        <f t="shared" si="0"/>
        <v>1144773.7879999999</v>
      </c>
      <c r="M32" s="155">
        <f t="shared" si="0"/>
        <v>208981.13</v>
      </c>
      <c r="N32" s="155">
        <f t="shared" si="0"/>
        <v>28220</v>
      </c>
      <c r="O32" s="155">
        <f t="shared" si="0"/>
        <v>874834.8</v>
      </c>
      <c r="P32" s="158">
        <f>SUM(P30:P31)</f>
        <v>0</v>
      </c>
      <c r="Q32" s="452">
        <f>Q26+Q30+Q31</f>
        <v>400000</v>
      </c>
      <c r="R32" s="453"/>
      <c r="S32" s="22">
        <f>S26</f>
        <v>474834.80000000005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454">
        <v>400000</v>
      </c>
      <c r="R33" s="454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454">
        <f>Q26+Q30+Q31</f>
        <v>400000</v>
      </c>
      <c r="R34" s="454"/>
      <c r="S34" s="100"/>
    </row>
    <row r="35" spans="1:19" ht="41.25" customHeight="1" x14ac:dyDescent="0.2">
      <c r="A35" s="449" t="s">
        <v>27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1"/>
    </row>
    <row r="36" spans="1:19" s="101" customFormat="1" ht="80.25" customHeight="1" x14ac:dyDescent="0.2">
      <c r="A36" s="14">
        <v>1</v>
      </c>
      <c r="B36" s="15" t="s">
        <v>52</v>
      </c>
      <c r="C36" s="341">
        <v>581</v>
      </c>
      <c r="D36" s="342"/>
      <c r="E36" s="16" t="s">
        <v>39</v>
      </c>
      <c r="F36" s="61" t="s">
        <v>76</v>
      </c>
      <c r="G36" s="61" t="s">
        <v>76</v>
      </c>
      <c r="H36" s="73" t="s">
        <v>7</v>
      </c>
      <c r="I36" s="355">
        <f>L36*1.1</f>
        <v>47376.681000000004</v>
      </c>
      <c r="J36" s="356"/>
      <c r="K36" s="197"/>
      <c r="L36" s="355">
        <v>43069.71</v>
      </c>
      <c r="M36" s="356"/>
      <c r="N36" s="62">
        <v>0</v>
      </c>
      <c r="O36" s="62">
        <v>1973.18</v>
      </c>
      <c r="P36" s="62">
        <f>0</f>
        <v>0</v>
      </c>
      <c r="Q36" s="343">
        <f>0</f>
        <v>0</v>
      </c>
      <c r="R36" s="344"/>
      <c r="S36" s="62"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55">
        <f>L37*1.1</f>
        <v>63939.733000000007</v>
      </c>
      <c r="J37" s="356"/>
      <c r="K37" s="18">
        <v>0.9</v>
      </c>
      <c r="L37" s="3">
        <v>58127.03</v>
      </c>
      <c r="M37" s="355">
        <v>0</v>
      </c>
      <c r="N37" s="356"/>
      <c r="O37" s="3">
        <f>'[1]Подрядный способ'!$J$5</f>
        <v>2028.02</v>
      </c>
      <c r="P37" s="100">
        <f>0</f>
        <v>0</v>
      </c>
      <c r="Q37" s="343">
        <f>0</f>
        <v>0</v>
      </c>
      <c r="R37" s="344"/>
      <c r="S37" s="3">
        <f>O37</f>
        <v>2028.02</v>
      </c>
    </row>
    <row r="38" spans="1:19" s="101" customFormat="1" ht="65.25" customHeight="1" x14ac:dyDescent="0.3">
      <c r="A38" s="14">
        <v>3</v>
      </c>
      <c r="B38" s="15" t="s">
        <v>54</v>
      </c>
      <c r="C38" s="16">
        <v>903</v>
      </c>
      <c r="D38" s="341" t="s">
        <v>39</v>
      </c>
      <c r="E38" s="342"/>
      <c r="F38" s="61" t="s">
        <v>76</v>
      </c>
      <c r="G38" s="341" t="s">
        <v>13</v>
      </c>
      <c r="H38" s="342"/>
      <c r="I38" s="355">
        <f>L38*1.1</f>
        <v>76774.896000000008</v>
      </c>
      <c r="J38" s="356"/>
      <c r="K38" s="18">
        <v>0.9</v>
      </c>
      <c r="L38" s="3">
        <v>69795.360000000001</v>
      </c>
      <c r="M38" s="355">
        <v>0</v>
      </c>
      <c r="N38" s="356"/>
      <c r="O38" s="3">
        <f>'[1]Подрядный способ'!$J$6</f>
        <v>2327.06</v>
      </c>
      <c r="P38" s="100">
        <f>0</f>
        <v>0</v>
      </c>
      <c r="Q38" s="343">
        <f>0</f>
        <v>0</v>
      </c>
      <c r="R38" s="344"/>
      <c r="S38" s="3">
        <f>O38</f>
        <v>2327.06</v>
      </c>
    </row>
    <row r="39" spans="1:19" ht="38.25" customHeight="1" x14ac:dyDescent="0.3">
      <c r="A39" s="4"/>
      <c r="B39" s="159" t="s">
        <v>92</v>
      </c>
      <c r="C39" s="32"/>
      <c r="D39" s="33"/>
      <c r="E39" s="33"/>
      <c r="F39" s="33"/>
      <c r="G39" s="33"/>
      <c r="H39" s="33"/>
      <c r="I39" s="433">
        <f>SUM(I36:J38)</f>
        <v>188091.31000000003</v>
      </c>
      <c r="J39" s="434"/>
      <c r="K39" s="36"/>
      <c r="L39" s="37">
        <f>SUM(L36:L38)</f>
        <v>170992.09999999998</v>
      </c>
      <c r="M39" s="433">
        <f>SUM(M36:N38)</f>
        <v>0</v>
      </c>
      <c r="N39" s="434"/>
      <c r="O39" s="37">
        <f>P39+Q39+S39</f>
        <v>6328.26</v>
      </c>
      <c r="P39" s="66">
        <f>SUM(P26:P38)</f>
        <v>0</v>
      </c>
      <c r="Q39" s="376">
        <f>SUM(Q36:R38)</f>
        <v>0</v>
      </c>
      <c r="R39" s="455"/>
      <c r="S39" s="37">
        <f>SUM(S36:S38)</f>
        <v>6328.26</v>
      </c>
    </row>
    <row r="40" spans="1:19" ht="42" hidden="1" customHeight="1" x14ac:dyDescent="0.3">
      <c r="A40" s="4"/>
      <c r="B40" s="6" t="s">
        <v>46</v>
      </c>
      <c r="C40" s="32"/>
      <c r="D40" s="33"/>
      <c r="E40" s="33"/>
      <c r="F40" s="33"/>
      <c r="G40" s="33"/>
      <c r="H40" s="33"/>
      <c r="I40" s="197"/>
      <c r="J40" s="198"/>
      <c r="K40" s="201"/>
      <c r="L40" s="3"/>
      <c r="M40" s="34"/>
      <c r="N40" s="97"/>
      <c r="O40" s="37"/>
      <c r="P40" s="66"/>
      <c r="Q40" s="65"/>
      <c r="R40" s="35"/>
      <c r="S40" s="37">
        <f>S39</f>
        <v>6328.26</v>
      </c>
    </row>
    <row r="41" spans="1:19" ht="0.75" hidden="1" customHeight="1" x14ac:dyDescent="0.2">
      <c r="A41" s="337" t="s">
        <v>28</v>
      </c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9"/>
    </row>
    <row r="42" spans="1:19" s="43" customFormat="1" ht="75.75" hidden="1" customHeight="1" x14ac:dyDescent="0.2">
      <c r="A42" s="8" t="s">
        <v>41</v>
      </c>
      <c r="B42" s="63" t="s">
        <v>41</v>
      </c>
      <c r="C42" s="44" t="s">
        <v>41</v>
      </c>
      <c r="D42" s="8"/>
      <c r="E42" s="8" t="s">
        <v>41</v>
      </c>
      <c r="F42" s="8" t="s">
        <v>41</v>
      </c>
      <c r="G42" s="8"/>
      <c r="H42" s="8" t="s">
        <v>41</v>
      </c>
      <c r="I42" s="197" t="s">
        <v>41</v>
      </c>
      <c r="J42" s="198"/>
      <c r="K42" s="198"/>
      <c r="L42" s="3" t="s">
        <v>41</v>
      </c>
      <c r="M42" s="68"/>
      <c r="N42" s="97" t="s">
        <v>41</v>
      </c>
      <c r="O42" s="40" t="s">
        <v>41</v>
      </c>
      <c r="P42" s="41" t="s">
        <v>41</v>
      </c>
      <c r="Q42" s="42" t="s">
        <v>41</v>
      </c>
      <c r="R42" s="64"/>
      <c r="S42" s="68" t="s">
        <v>41</v>
      </c>
    </row>
    <row r="43" spans="1:19" s="43" customFormat="1" ht="33.7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46.5" hidden="1" customHeight="1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</row>
    <row r="45" spans="1:19" ht="24.75" customHeight="1" x14ac:dyDescent="0.2">
      <c r="A45" s="425" t="s">
        <v>51</v>
      </c>
      <c r="B45" s="426"/>
      <c r="C45" s="426"/>
      <c r="D45" s="426"/>
      <c r="E45" s="426"/>
      <c r="F45" s="426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426"/>
      <c r="R45" s="426"/>
      <c r="S45" s="427"/>
    </row>
    <row r="46" spans="1:19" ht="60.75" customHeight="1" x14ac:dyDescent="0.2">
      <c r="A46" s="14" t="s">
        <v>71</v>
      </c>
      <c r="B46" s="59" t="s">
        <v>10</v>
      </c>
      <c r="C46" s="129">
        <v>1717</v>
      </c>
      <c r="D46" s="73"/>
      <c r="E46" s="129"/>
      <c r="F46" s="340" t="s">
        <v>74</v>
      </c>
      <c r="G46" s="334"/>
      <c r="H46" s="73" t="s">
        <v>75</v>
      </c>
      <c r="I46" s="341"/>
      <c r="J46" s="342"/>
      <c r="K46" s="98"/>
      <c r="L46" s="341"/>
      <c r="M46" s="342"/>
      <c r="N46" s="62">
        <v>0</v>
      </c>
      <c r="O46" s="62">
        <v>12000</v>
      </c>
      <c r="P46" s="62">
        <v>0</v>
      </c>
      <c r="Q46" s="343">
        <v>0</v>
      </c>
      <c r="R46" s="344"/>
      <c r="S46" s="62">
        <f>O46</f>
        <v>12000</v>
      </c>
    </row>
    <row r="47" spans="1:19" ht="63.75" customHeight="1" x14ac:dyDescent="0.2">
      <c r="A47" s="14">
        <v>2</v>
      </c>
      <c r="B47" s="59" t="s">
        <v>55</v>
      </c>
      <c r="C47" s="129">
        <v>1206</v>
      </c>
      <c r="D47" s="73"/>
      <c r="E47" s="129"/>
      <c r="F47" s="340" t="s">
        <v>12</v>
      </c>
      <c r="G47" s="334"/>
      <c r="H47" s="73" t="s">
        <v>7</v>
      </c>
      <c r="I47" s="341"/>
      <c r="J47" s="342"/>
      <c r="K47" s="61"/>
      <c r="L47" s="341"/>
      <c r="M47" s="342"/>
      <c r="N47" s="62">
        <v>0</v>
      </c>
      <c r="O47" s="62">
        <v>12000</v>
      </c>
      <c r="P47" s="62">
        <f>0</f>
        <v>0</v>
      </c>
      <c r="Q47" s="343">
        <f>0</f>
        <v>0</v>
      </c>
      <c r="R47" s="344"/>
      <c r="S47" s="62">
        <v>10000</v>
      </c>
    </row>
    <row r="48" spans="1:19" ht="62.25" customHeight="1" x14ac:dyDescent="0.2">
      <c r="A48" s="14">
        <v>3</v>
      </c>
      <c r="B48" s="54" t="s">
        <v>83</v>
      </c>
      <c r="C48" s="129">
        <v>514</v>
      </c>
      <c r="D48" s="73"/>
      <c r="E48" s="129"/>
      <c r="F48" s="340" t="s">
        <v>86</v>
      </c>
      <c r="G48" s="334"/>
      <c r="H48" s="73" t="s">
        <v>13</v>
      </c>
      <c r="I48" s="341"/>
      <c r="J48" s="342"/>
      <c r="K48" s="61"/>
      <c r="L48" s="341"/>
      <c r="M48" s="342"/>
      <c r="N48" s="62">
        <v>0</v>
      </c>
      <c r="O48" s="62">
        <f>S48</f>
        <v>10000</v>
      </c>
      <c r="P48" s="62">
        <f>0</f>
        <v>0</v>
      </c>
      <c r="Q48" s="343">
        <f>0</f>
        <v>0</v>
      </c>
      <c r="R48" s="344"/>
      <c r="S48" s="62">
        <v>10000</v>
      </c>
    </row>
    <row r="49" spans="1:19" ht="60.75" customHeight="1" x14ac:dyDescent="0.2">
      <c r="A49" s="14">
        <v>4</v>
      </c>
      <c r="B49" s="59" t="s">
        <v>93</v>
      </c>
      <c r="C49" s="16">
        <v>365</v>
      </c>
      <c r="D49" s="73"/>
      <c r="E49" s="129"/>
      <c r="F49" s="340" t="s">
        <v>12</v>
      </c>
      <c r="G49" s="334"/>
      <c r="H49" s="73" t="s">
        <v>7</v>
      </c>
      <c r="I49" s="341"/>
      <c r="J49" s="342"/>
      <c r="K49" s="61"/>
      <c r="L49" s="345"/>
      <c r="M49" s="345"/>
      <c r="N49" s="62">
        <v>0</v>
      </c>
      <c r="O49" s="62">
        <f>S49</f>
        <v>10000</v>
      </c>
      <c r="P49" s="62">
        <f>0</f>
        <v>0</v>
      </c>
      <c r="Q49" s="343">
        <f>0</f>
        <v>0</v>
      </c>
      <c r="R49" s="344"/>
      <c r="S49" s="62">
        <v>10000</v>
      </c>
    </row>
    <row r="50" spans="1:19" ht="60.75" customHeight="1" x14ac:dyDescent="0.2">
      <c r="A50" s="14">
        <v>5</v>
      </c>
      <c r="B50" s="59" t="s">
        <v>57</v>
      </c>
      <c r="C50" s="129">
        <v>697</v>
      </c>
      <c r="D50" s="73"/>
      <c r="E50" s="129"/>
      <c r="F50" s="340" t="s">
        <v>12</v>
      </c>
      <c r="G50" s="334"/>
      <c r="H50" s="73" t="s">
        <v>7</v>
      </c>
      <c r="I50" s="341"/>
      <c r="J50" s="342"/>
      <c r="K50" s="61"/>
      <c r="L50" s="341"/>
      <c r="M50" s="342"/>
      <c r="N50" s="62">
        <v>0</v>
      </c>
      <c r="O50" s="62">
        <f>S50</f>
        <v>10000</v>
      </c>
      <c r="P50" s="62">
        <f>0</f>
        <v>0</v>
      </c>
      <c r="Q50" s="343">
        <f>0</f>
        <v>0</v>
      </c>
      <c r="R50" s="344"/>
      <c r="S50" s="62">
        <v>10000</v>
      </c>
    </row>
    <row r="51" spans="1:19" ht="60.75" customHeight="1" x14ac:dyDescent="0.2">
      <c r="A51" s="14">
        <v>6</v>
      </c>
      <c r="B51" s="55" t="s">
        <v>79</v>
      </c>
      <c r="C51" s="129">
        <v>767</v>
      </c>
      <c r="D51" s="73"/>
      <c r="E51" s="129"/>
      <c r="F51" s="340" t="s">
        <v>74</v>
      </c>
      <c r="G51" s="334"/>
      <c r="H51" s="73" t="s">
        <v>75</v>
      </c>
      <c r="I51" s="61"/>
      <c r="J51" s="61"/>
      <c r="K51" s="61"/>
      <c r="L51" s="61"/>
      <c r="M51" s="61"/>
      <c r="N51" s="62">
        <v>0</v>
      </c>
      <c r="O51" s="62">
        <f>S51</f>
        <v>11000</v>
      </c>
      <c r="P51" s="62">
        <f>0</f>
        <v>0</v>
      </c>
      <c r="Q51" s="343">
        <f>0</f>
        <v>0</v>
      </c>
      <c r="R51" s="344"/>
      <c r="S51" s="62">
        <v>11000</v>
      </c>
    </row>
    <row r="52" spans="1:19" ht="60.75" customHeight="1" x14ac:dyDescent="0.2">
      <c r="A52" s="14">
        <v>7</v>
      </c>
      <c r="B52" s="56" t="s">
        <v>78</v>
      </c>
      <c r="C52" s="129">
        <v>610</v>
      </c>
      <c r="D52" s="73"/>
      <c r="E52" s="129"/>
      <c r="F52" s="340" t="s">
        <v>74</v>
      </c>
      <c r="G52" s="334"/>
      <c r="H52" s="73" t="s">
        <v>75</v>
      </c>
      <c r="I52" s="61"/>
      <c r="J52" s="61"/>
      <c r="K52" s="61"/>
      <c r="L52" s="61"/>
      <c r="M52" s="61"/>
      <c r="N52" s="62">
        <v>0</v>
      </c>
      <c r="O52" s="62">
        <f>S52</f>
        <v>10000</v>
      </c>
      <c r="P52" s="62">
        <f>0</f>
        <v>0</v>
      </c>
      <c r="Q52" s="343">
        <f>0</f>
        <v>0</v>
      </c>
      <c r="R52" s="344"/>
      <c r="S52" s="62">
        <v>10000</v>
      </c>
    </row>
    <row r="53" spans="1:19" ht="60.75" customHeight="1" x14ac:dyDescent="0.2">
      <c r="A53" s="14">
        <v>8</v>
      </c>
      <c r="B53" s="55" t="s">
        <v>58</v>
      </c>
      <c r="C53" s="129">
        <v>601</v>
      </c>
      <c r="D53" s="73"/>
      <c r="E53" s="129"/>
      <c r="F53" s="340" t="s">
        <v>74</v>
      </c>
      <c r="G53" s="334"/>
      <c r="H53" s="73" t="s">
        <v>75</v>
      </c>
      <c r="I53" s="61"/>
      <c r="J53" s="61"/>
      <c r="K53" s="61"/>
      <c r="L53" s="61"/>
      <c r="M53" s="61"/>
      <c r="N53" s="62">
        <v>0</v>
      </c>
      <c r="O53" s="62">
        <v>10000</v>
      </c>
      <c r="P53" s="62">
        <f>0</f>
        <v>0</v>
      </c>
      <c r="Q53" s="343">
        <f>0</f>
        <v>0</v>
      </c>
      <c r="R53" s="344"/>
      <c r="S53" s="62">
        <f>O53</f>
        <v>10000</v>
      </c>
    </row>
    <row r="54" spans="1:19" ht="49.5" customHeight="1" x14ac:dyDescent="0.2">
      <c r="A54" s="14">
        <v>9</v>
      </c>
      <c r="B54" s="119" t="s">
        <v>38</v>
      </c>
      <c r="C54" s="130">
        <v>1329</v>
      </c>
      <c r="D54" s="404"/>
      <c r="E54" s="405"/>
      <c r="F54" s="73"/>
      <c r="G54" s="359"/>
      <c r="H54" s="360"/>
      <c r="I54" s="355"/>
      <c r="J54" s="356"/>
      <c r="K54" s="93">
        <v>0.9</v>
      </c>
      <c r="L54" s="94"/>
      <c r="M54" s="361">
        <v>0</v>
      </c>
      <c r="N54" s="362"/>
      <c r="O54" s="117">
        <f>1889.55</f>
        <v>1889.55</v>
      </c>
      <c r="P54" s="52">
        <f>O54</f>
        <v>1889.55</v>
      </c>
      <c r="Q54" s="363">
        <v>0</v>
      </c>
      <c r="R54" s="364"/>
      <c r="S54" s="3">
        <v>1889.55</v>
      </c>
    </row>
    <row r="55" spans="1:19" ht="58.5" customHeight="1" x14ac:dyDescent="0.2">
      <c r="A55" s="14">
        <v>10</v>
      </c>
      <c r="B55" s="55" t="s">
        <v>80</v>
      </c>
      <c r="C55" s="129">
        <v>775</v>
      </c>
      <c r="D55" s="73"/>
      <c r="E55" s="129"/>
      <c r="F55" s="340" t="s">
        <v>8</v>
      </c>
      <c r="G55" s="334"/>
      <c r="H55" s="73" t="s">
        <v>12</v>
      </c>
      <c r="I55" s="61"/>
      <c r="J55" s="61"/>
      <c r="K55" s="61"/>
      <c r="L55" s="61"/>
      <c r="M55" s="61"/>
      <c r="N55" s="62">
        <v>0</v>
      </c>
      <c r="O55" s="62">
        <v>120000</v>
      </c>
      <c r="P55" s="62">
        <v>0</v>
      </c>
      <c r="Q55" s="343">
        <v>0</v>
      </c>
      <c r="R55" s="344"/>
      <c r="S55" s="62">
        <v>12000</v>
      </c>
    </row>
    <row r="56" spans="1:19" ht="58.5" customHeight="1" x14ac:dyDescent="0.2">
      <c r="A56" s="14">
        <v>11</v>
      </c>
      <c r="B56" s="55" t="s">
        <v>107</v>
      </c>
      <c r="C56" s="129">
        <v>431</v>
      </c>
      <c r="D56" s="73"/>
      <c r="E56" s="129"/>
      <c r="F56" s="340" t="s">
        <v>13</v>
      </c>
      <c r="G56" s="334"/>
      <c r="H56" s="73" t="s">
        <v>47</v>
      </c>
      <c r="I56" s="61"/>
      <c r="J56" s="61"/>
      <c r="K56" s="61"/>
      <c r="L56" s="61"/>
      <c r="M56" s="61"/>
      <c r="N56" s="62">
        <v>0</v>
      </c>
      <c r="O56" s="62">
        <v>10000</v>
      </c>
      <c r="P56" s="62">
        <v>0</v>
      </c>
      <c r="Q56" s="343">
        <v>0</v>
      </c>
      <c r="R56" s="344"/>
      <c r="S56" s="62">
        <f t="shared" ref="S56:S61" si="1">O56</f>
        <v>10000</v>
      </c>
    </row>
    <row r="57" spans="1:19" ht="58.5" customHeight="1" x14ac:dyDescent="0.2">
      <c r="A57" s="14">
        <v>12</v>
      </c>
      <c r="B57" s="55" t="s">
        <v>108</v>
      </c>
      <c r="C57" s="129">
        <v>932.55</v>
      </c>
      <c r="D57" s="73"/>
      <c r="E57" s="129"/>
      <c r="F57" s="340" t="s">
        <v>13</v>
      </c>
      <c r="G57" s="334"/>
      <c r="H57" s="73" t="s">
        <v>47</v>
      </c>
      <c r="I57" s="61"/>
      <c r="J57" s="61"/>
      <c r="K57" s="61"/>
      <c r="L57" s="61"/>
      <c r="M57" s="61"/>
      <c r="N57" s="62">
        <v>0</v>
      </c>
      <c r="O57" s="62">
        <v>14000</v>
      </c>
      <c r="P57" s="62">
        <v>0</v>
      </c>
      <c r="Q57" s="343">
        <v>0</v>
      </c>
      <c r="R57" s="344"/>
      <c r="S57" s="62">
        <f t="shared" si="1"/>
        <v>14000</v>
      </c>
    </row>
    <row r="58" spans="1:19" ht="58.5" customHeight="1" x14ac:dyDescent="0.2">
      <c r="A58" s="14">
        <v>13</v>
      </c>
      <c r="B58" s="55" t="s">
        <v>109</v>
      </c>
      <c r="C58" s="129">
        <v>924</v>
      </c>
      <c r="D58" s="73"/>
      <c r="E58" s="129"/>
      <c r="F58" s="340" t="s">
        <v>13</v>
      </c>
      <c r="G58" s="334"/>
      <c r="H58" s="73" t="s">
        <v>47</v>
      </c>
      <c r="I58" s="61"/>
      <c r="J58" s="61"/>
      <c r="K58" s="61"/>
      <c r="L58" s="61"/>
      <c r="M58" s="61"/>
      <c r="N58" s="62">
        <v>0</v>
      </c>
      <c r="O58" s="62">
        <v>12000</v>
      </c>
      <c r="P58" s="62">
        <v>0</v>
      </c>
      <c r="Q58" s="343">
        <v>0</v>
      </c>
      <c r="R58" s="344"/>
      <c r="S58" s="62">
        <f t="shared" si="1"/>
        <v>12000</v>
      </c>
    </row>
    <row r="59" spans="1:19" ht="58.5" customHeight="1" x14ac:dyDescent="0.2">
      <c r="A59" s="14">
        <v>14</v>
      </c>
      <c r="B59" s="55" t="s">
        <v>110</v>
      </c>
      <c r="C59" s="129">
        <v>730</v>
      </c>
      <c r="D59" s="73"/>
      <c r="E59" s="129"/>
      <c r="F59" s="340" t="s">
        <v>13</v>
      </c>
      <c r="G59" s="334"/>
      <c r="H59" s="73" t="s">
        <v>47</v>
      </c>
      <c r="I59" s="61"/>
      <c r="J59" s="61"/>
      <c r="K59" s="61"/>
      <c r="L59" s="61"/>
      <c r="M59" s="61"/>
      <c r="N59" s="62">
        <v>0</v>
      </c>
      <c r="O59" s="62">
        <v>12000</v>
      </c>
      <c r="P59" s="62">
        <v>0</v>
      </c>
      <c r="Q59" s="343">
        <v>0</v>
      </c>
      <c r="R59" s="344"/>
      <c r="S59" s="62">
        <f t="shared" si="1"/>
        <v>12000</v>
      </c>
    </row>
    <row r="60" spans="1:19" ht="58.5" customHeight="1" x14ac:dyDescent="0.2">
      <c r="A60" s="14">
        <v>15</v>
      </c>
      <c r="B60" s="55" t="s">
        <v>112</v>
      </c>
      <c r="C60" s="129">
        <v>329</v>
      </c>
      <c r="D60" s="73"/>
      <c r="E60" s="129"/>
      <c r="F60" s="340" t="s">
        <v>13</v>
      </c>
      <c r="G60" s="334"/>
      <c r="H60" s="73" t="s">
        <v>47</v>
      </c>
      <c r="I60" s="61"/>
      <c r="J60" s="61"/>
      <c r="K60" s="61"/>
      <c r="L60" s="61"/>
      <c r="M60" s="61"/>
      <c r="N60" s="62">
        <v>0</v>
      </c>
      <c r="O60" s="62">
        <v>10000</v>
      </c>
      <c r="P60" s="62">
        <v>0</v>
      </c>
      <c r="Q60" s="343">
        <v>0</v>
      </c>
      <c r="R60" s="344"/>
      <c r="S60" s="62">
        <f t="shared" si="1"/>
        <v>10000</v>
      </c>
    </row>
    <row r="61" spans="1:19" ht="58.5" customHeight="1" x14ac:dyDescent="0.2">
      <c r="A61" s="14">
        <v>16</v>
      </c>
      <c r="B61" s="55" t="s">
        <v>113</v>
      </c>
      <c r="C61" s="129">
        <v>554</v>
      </c>
      <c r="D61" s="73"/>
      <c r="E61" s="129"/>
      <c r="F61" s="340" t="s">
        <v>13</v>
      </c>
      <c r="G61" s="334"/>
      <c r="H61" s="73" t="s">
        <v>47</v>
      </c>
      <c r="I61" s="61"/>
      <c r="J61" s="61"/>
      <c r="K61" s="61"/>
      <c r="L61" s="61"/>
      <c r="M61" s="61"/>
      <c r="N61" s="62">
        <v>0</v>
      </c>
      <c r="O61" s="62">
        <v>10000</v>
      </c>
      <c r="P61" s="62">
        <v>0</v>
      </c>
      <c r="Q61" s="343">
        <v>0</v>
      </c>
      <c r="R61" s="344"/>
      <c r="S61" s="62">
        <f t="shared" si="1"/>
        <v>10000</v>
      </c>
    </row>
    <row r="62" spans="1:19" ht="34.5" customHeight="1" x14ac:dyDescent="0.2">
      <c r="A62" s="4"/>
      <c r="B62" s="160" t="s">
        <v>105</v>
      </c>
      <c r="C62" s="161">
        <f>SUM(C46:C61)</f>
        <v>12481.55</v>
      </c>
      <c r="D62" s="162"/>
      <c r="E62" s="161"/>
      <c r="F62" s="162"/>
      <c r="G62" s="162"/>
      <c r="H62" s="162"/>
      <c r="I62" s="162"/>
      <c r="J62" s="162"/>
      <c r="K62" s="162"/>
      <c r="L62" s="162"/>
      <c r="M62" s="162"/>
      <c r="N62" s="22">
        <f>SUM(N46:N55)</f>
        <v>0</v>
      </c>
      <c r="O62" s="22">
        <f>SUM(O46:O55)</f>
        <v>206889.55</v>
      </c>
      <c r="P62" s="22">
        <f>SUM(P46:P55)</f>
        <v>1889.55</v>
      </c>
      <c r="Q62" s="376">
        <f>SUM(Q46:R55)</f>
        <v>0</v>
      </c>
      <c r="R62" s="377"/>
      <c r="S62" s="22">
        <f>SUM(S46:S59)+S60+S61</f>
        <v>164889.54999999999</v>
      </c>
    </row>
    <row r="63" spans="1:19" ht="32.25" customHeight="1" x14ac:dyDescent="0.2">
      <c r="A63" s="449" t="s">
        <v>29</v>
      </c>
      <c r="B63" s="450"/>
      <c r="C63" s="450"/>
      <c r="D63" s="450"/>
      <c r="E63" s="450"/>
      <c r="F63" s="450"/>
      <c r="G63" s="450"/>
      <c r="H63" s="450"/>
      <c r="I63" s="450"/>
      <c r="J63" s="450"/>
      <c r="K63" s="450"/>
      <c r="L63" s="450"/>
      <c r="M63" s="450"/>
      <c r="N63" s="450"/>
      <c r="O63" s="450"/>
      <c r="P63" s="450"/>
      <c r="Q63" s="450"/>
      <c r="R63" s="450"/>
      <c r="S63" s="451"/>
    </row>
    <row r="64" spans="1:19" ht="94.5" customHeight="1" x14ac:dyDescent="0.2">
      <c r="A64" s="8"/>
      <c r="B64" s="48" t="s">
        <v>111</v>
      </c>
      <c r="C64" s="326"/>
      <c r="D64" s="327"/>
      <c r="E64" s="44"/>
      <c r="F64" s="326"/>
      <c r="G64" s="327"/>
      <c r="H64" s="8"/>
      <c r="I64" s="385"/>
      <c r="J64" s="384"/>
      <c r="K64" s="11"/>
      <c r="L64" s="326"/>
      <c r="M64" s="327"/>
      <c r="N64" s="11"/>
      <c r="O64" s="8"/>
      <c r="P64" s="8"/>
      <c r="Q64" s="326"/>
      <c r="R64" s="327"/>
      <c r="S64" s="49">
        <f>I26-L26</f>
        <v>125320.64200000011</v>
      </c>
    </row>
    <row r="65" spans="1:20" ht="45" customHeight="1" x14ac:dyDescent="0.2">
      <c r="A65" s="4"/>
      <c r="B65" s="6" t="s">
        <v>102</v>
      </c>
      <c r="C65" s="407"/>
      <c r="D65" s="408"/>
      <c r="E65" s="5"/>
      <c r="F65" s="407"/>
      <c r="G65" s="408"/>
      <c r="H65" s="4"/>
      <c r="I65" s="433">
        <f>I26+I39+I62</f>
        <v>1312681.4300000002</v>
      </c>
      <c r="J65" s="434"/>
      <c r="K65" s="61"/>
      <c r="L65" s="433">
        <f>L26+L39+L62</f>
        <v>1170261.578</v>
      </c>
      <c r="M65" s="434"/>
      <c r="N65" s="22">
        <f>M26</f>
        <v>178625.93</v>
      </c>
      <c r="O65" s="22">
        <f>O26+O39+O62</f>
        <v>1008443.1200000001</v>
      </c>
      <c r="P65" s="22">
        <f>P26+P39+P62</f>
        <v>1889.55</v>
      </c>
      <c r="Q65" s="376">
        <f>Q32</f>
        <v>400000</v>
      </c>
      <c r="R65" s="377"/>
      <c r="S65" s="22">
        <f>S26+S39+S62</f>
        <v>646052.6100000001</v>
      </c>
    </row>
    <row r="66" spans="1:20" ht="38.25" customHeight="1" x14ac:dyDescent="0.2">
      <c r="A66" s="105"/>
      <c r="B66" s="59" t="s">
        <v>106</v>
      </c>
      <c r="C66" s="107"/>
      <c r="D66" s="108"/>
      <c r="E66" s="106"/>
      <c r="F66" s="107"/>
      <c r="G66" s="108"/>
      <c r="H66" s="105"/>
      <c r="I66" s="202"/>
      <c r="J66" s="203"/>
      <c r="K66" s="54"/>
      <c r="L66" s="204"/>
      <c r="M66" s="113"/>
      <c r="N66" s="140"/>
      <c r="O66" s="115"/>
      <c r="P66" s="116"/>
      <c r="Q66" s="346"/>
      <c r="R66" s="346"/>
      <c r="S66" s="62">
        <v>258297.66</v>
      </c>
    </row>
    <row r="67" spans="1:20" ht="29.25" customHeight="1" x14ac:dyDescent="0.3">
      <c r="A67" s="193"/>
      <c r="B67" s="205" t="s">
        <v>103</v>
      </c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456">
        <f>Q65</f>
        <v>400000</v>
      </c>
      <c r="R67" s="457"/>
      <c r="S67" s="207">
        <f>S65</f>
        <v>646052.6100000001</v>
      </c>
    </row>
    <row r="69" spans="1:20" ht="25.5" x14ac:dyDescent="0.35">
      <c r="B69" s="147" t="s">
        <v>100</v>
      </c>
      <c r="C69" s="147"/>
      <c r="D69" s="147"/>
      <c r="E69" s="147"/>
      <c r="F69" s="147"/>
      <c r="G69" s="147"/>
      <c r="H69" s="147" t="s">
        <v>95</v>
      </c>
      <c r="I69" s="147"/>
      <c r="J69" s="147"/>
      <c r="K69" s="147"/>
      <c r="L69" s="147"/>
      <c r="M69" s="148"/>
      <c r="N69" s="148"/>
      <c r="P69" s="23"/>
      <c r="Q69" s="23"/>
      <c r="S69" s="21"/>
    </row>
    <row r="70" spans="1:20" x14ac:dyDescent="0.2"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</row>
    <row r="71" spans="1:20" ht="20.25" x14ac:dyDescent="0.3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T71" s="136">
        <v>258</v>
      </c>
    </row>
    <row r="72" spans="1:20" ht="20.25" x14ac:dyDescent="0.3">
      <c r="B72" s="147" t="s">
        <v>96</v>
      </c>
      <c r="C72" s="147"/>
      <c r="D72" s="147"/>
      <c r="E72" s="147"/>
      <c r="F72" s="147"/>
      <c r="G72" s="147"/>
      <c r="H72" s="147" t="s">
        <v>45</v>
      </c>
      <c r="I72" s="147"/>
      <c r="J72" s="147"/>
      <c r="K72" s="147"/>
      <c r="L72" s="147"/>
      <c r="M72" s="147"/>
      <c r="N72" s="147"/>
      <c r="T72" s="136">
        <v>388</v>
      </c>
    </row>
    <row r="73" spans="1:20" ht="20.25" x14ac:dyDescent="0.3"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T73" s="136">
        <f ca="1">SUM(T71:T73)</f>
        <v>3618246</v>
      </c>
    </row>
    <row r="74" spans="1:20" x14ac:dyDescent="0.2"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</row>
    <row r="75" spans="1:20" ht="22.5" customHeight="1" x14ac:dyDescent="0.2"/>
  </sheetData>
  <mergeCells count="153">
    <mergeCell ref="Q67:R67"/>
    <mergeCell ref="C65:D65"/>
    <mergeCell ref="F65:G65"/>
    <mergeCell ref="I65:J65"/>
    <mergeCell ref="L65:M65"/>
    <mergeCell ref="Q65:R65"/>
    <mergeCell ref="Q66:R66"/>
    <mergeCell ref="Q62:R62"/>
    <mergeCell ref="A63:S63"/>
    <mergeCell ref="C64:D64"/>
    <mergeCell ref="F64:G64"/>
    <mergeCell ref="I64:J64"/>
    <mergeCell ref="L64:M64"/>
    <mergeCell ref="Q64:R64"/>
    <mergeCell ref="D54:E54"/>
    <mergeCell ref="G54:H54"/>
    <mergeCell ref="I54:J54"/>
    <mergeCell ref="M54:N54"/>
    <mergeCell ref="Q54:R54"/>
    <mergeCell ref="F55:G55"/>
    <mergeCell ref="Q55:R55"/>
    <mergeCell ref="F51:G51"/>
    <mergeCell ref="Q51:R51"/>
    <mergeCell ref="F52:G52"/>
    <mergeCell ref="Q52:R52"/>
    <mergeCell ref="F53:G53"/>
    <mergeCell ref="Q53:R53"/>
    <mergeCell ref="F49:G49"/>
    <mergeCell ref="I49:J49"/>
    <mergeCell ref="L49:M49"/>
    <mergeCell ref="Q49:R49"/>
    <mergeCell ref="F50:G50"/>
    <mergeCell ref="I50:J50"/>
    <mergeCell ref="L50:M50"/>
    <mergeCell ref="Q50:R50"/>
    <mergeCell ref="F47:G47"/>
    <mergeCell ref="I47:J47"/>
    <mergeCell ref="L47:M47"/>
    <mergeCell ref="Q47:R47"/>
    <mergeCell ref="F48:G48"/>
    <mergeCell ref="I48:J48"/>
    <mergeCell ref="L48:M48"/>
    <mergeCell ref="Q48:R48"/>
    <mergeCell ref="I39:J39"/>
    <mergeCell ref="M39:N39"/>
    <mergeCell ref="Q39:R39"/>
    <mergeCell ref="A41:S41"/>
    <mergeCell ref="A45:S45"/>
    <mergeCell ref="F46:G46"/>
    <mergeCell ref="I46:J46"/>
    <mergeCell ref="L46:M46"/>
    <mergeCell ref="Q46:R46"/>
    <mergeCell ref="I37:J37"/>
    <mergeCell ref="M37:N37"/>
    <mergeCell ref="Q37:R37"/>
    <mergeCell ref="D38:E38"/>
    <mergeCell ref="G38:H38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F61:G61"/>
    <mergeCell ref="Q61:R61"/>
    <mergeCell ref="F56:G56"/>
    <mergeCell ref="Q56:R56"/>
    <mergeCell ref="Q58:R58"/>
    <mergeCell ref="Q59:R59"/>
    <mergeCell ref="Q57:R57"/>
    <mergeCell ref="F57:G57"/>
    <mergeCell ref="F58:G58"/>
    <mergeCell ref="F59:G59"/>
    <mergeCell ref="F60:G60"/>
    <mergeCell ref="Q60:R60"/>
  </mergeCells>
  <pageMargins left="0" right="0" top="0" bottom="0" header="0" footer="0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BZ72"/>
  <sheetViews>
    <sheetView topLeftCell="A26" zoomScale="69" zoomScaleNormal="69" zoomScalePageLayoutView="60" workbookViewId="0">
      <selection activeCell="A38" sqref="A38:XFD38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2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115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0" t="s">
        <v>59</v>
      </c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0"/>
    </row>
    <row r="8" spans="1:16302" ht="11.25" customHeight="1" x14ac:dyDescent="0.2">
      <c r="A8" s="10"/>
    </row>
    <row r="9" spans="1:16302" ht="43.5" customHeight="1" x14ac:dyDescent="0.2">
      <c r="A9" s="392" t="s">
        <v>4</v>
      </c>
      <c r="B9" s="411" t="s">
        <v>14</v>
      </c>
      <c r="C9" s="414" t="s">
        <v>15</v>
      </c>
      <c r="D9" s="411" t="s">
        <v>16</v>
      </c>
      <c r="E9" s="417"/>
      <c r="F9" s="411" t="s">
        <v>17</v>
      </c>
      <c r="G9" s="420"/>
      <c r="H9" s="417"/>
      <c r="I9" s="341" t="s">
        <v>18</v>
      </c>
      <c r="J9" s="422"/>
      <c r="K9" s="422"/>
      <c r="L9" s="342"/>
      <c r="M9" s="411" t="s">
        <v>65</v>
      </c>
      <c r="N9" s="417"/>
      <c r="O9" s="341" t="s">
        <v>68</v>
      </c>
      <c r="P9" s="422"/>
      <c r="Q9" s="422"/>
      <c r="R9" s="422"/>
      <c r="S9" s="342"/>
    </row>
    <row r="10" spans="1:16302" ht="18.75" customHeight="1" x14ac:dyDescent="0.2">
      <c r="A10" s="393"/>
      <c r="B10" s="412"/>
      <c r="C10" s="415"/>
      <c r="D10" s="412"/>
      <c r="E10" s="418"/>
      <c r="F10" s="413"/>
      <c r="G10" s="421"/>
      <c r="H10" s="419"/>
      <c r="I10" s="341" t="s">
        <v>77</v>
      </c>
      <c r="J10" s="422"/>
      <c r="K10" s="422"/>
      <c r="L10" s="342"/>
      <c r="M10" s="412"/>
      <c r="N10" s="418"/>
      <c r="O10" s="428" t="s">
        <v>19</v>
      </c>
      <c r="P10" s="422"/>
      <c r="Q10" s="422"/>
      <c r="R10" s="422"/>
      <c r="S10" s="342"/>
    </row>
    <row r="11" spans="1:16302" ht="18.75" customHeight="1" x14ac:dyDescent="0.2">
      <c r="A11" s="393"/>
      <c r="B11" s="412"/>
      <c r="C11" s="415"/>
      <c r="D11" s="412"/>
      <c r="E11" s="418"/>
      <c r="F11" s="61" t="s">
        <v>20</v>
      </c>
      <c r="G11" s="341" t="s">
        <v>21</v>
      </c>
      <c r="H11" s="342"/>
      <c r="I11" s="411" t="s">
        <v>22</v>
      </c>
      <c r="J11" s="417"/>
      <c r="K11" s="61"/>
      <c r="L11" s="414" t="s">
        <v>23</v>
      </c>
      <c r="M11" s="412"/>
      <c r="N11" s="418"/>
      <c r="O11" s="429"/>
      <c r="P11" s="417" t="s">
        <v>66</v>
      </c>
      <c r="Q11" s="411" t="s">
        <v>67</v>
      </c>
      <c r="R11" s="420"/>
      <c r="S11" s="417"/>
    </row>
    <row r="12" spans="1:16302" ht="18.75" customHeight="1" x14ac:dyDescent="0.2">
      <c r="A12" s="393"/>
      <c r="B12" s="412"/>
      <c r="C12" s="415"/>
      <c r="D12" s="412"/>
      <c r="E12" s="418"/>
      <c r="F12" s="61" t="s">
        <v>69</v>
      </c>
      <c r="G12" s="341" t="s">
        <v>69</v>
      </c>
      <c r="H12" s="342"/>
      <c r="I12" s="412"/>
      <c r="J12" s="418"/>
      <c r="K12" s="61"/>
      <c r="L12" s="415"/>
      <c r="M12" s="412"/>
      <c r="N12" s="418"/>
      <c r="O12" s="429"/>
      <c r="P12" s="418"/>
      <c r="Q12" s="413"/>
      <c r="R12" s="421"/>
      <c r="S12" s="419"/>
    </row>
    <row r="13" spans="1:16302" ht="95.25" customHeight="1" x14ac:dyDescent="0.2">
      <c r="A13" s="394"/>
      <c r="B13" s="413"/>
      <c r="C13" s="416"/>
      <c r="D13" s="413"/>
      <c r="E13" s="419"/>
      <c r="F13" s="61" t="s">
        <v>63</v>
      </c>
      <c r="G13" s="341" t="s">
        <v>64</v>
      </c>
      <c r="H13" s="342"/>
      <c r="I13" s="413"/>
      <c r="J13" s="419"/>
      <c r="K13" s="61"/>
      <c r="L13" s="416"/>
      <c r="M13" s="413"/>
      <c r="N13" s="419"/>
      <c r="O13" s="430"/>
      <c r="P13" s="419"/>
      <c r="Q13" s="341" t="s">
        <v>24</v>
      </c>
      <c r="R13" s="342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23">
        <v>4</v>
      </c>
      <c r="E14" s="424"/>
      <c r="F14" s="141">
        <v>5</v>
      </c>
      <c r="G14" s="423">
        <v>6</v>
      </c>
      <c r="H14" s="424"/>
      <c r="I14" s="423">
        <v>7</v>
      </c>
      <c r="J14" s="424"/>
      <c r="K14" s="141"/>
      <c r="L14" s="141">
        <v>8</v>
      </c>
      <c r="M14" s="423">
        <v>9</v>
      </c>
      <c r="N14" s="424"/>
      <c r="O14" s="166">
        <v>10</v>
      </c>
      <c r="P14" s="167">
        <v>11</v>
      </c>
      <c r="Q14" s="423">
        <v>12</v>
      </c>
      <c r="R14" s="424"/>
      <c r="S14" s="146">
        <v>13</v>
      </c>
    </row>
    <row r="15" spans="1:16302" ht="23.25" customHeight="1" x14ac:dyDescent="0.2">
      <c r="A15" s="425" t="s">
        <v>26</v>
      </c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7"/>
    </row>
    <row r="16" spans="1:16302" ht="65.25" customHeight="1" x14ac:dyDescent="0.3">
      <c r="A16" s="14">
        <v>1</v>
      </c>
      <c r="B16" s="15" t="s">
        <v>48</v>
      </c>
      <c r="C16" s="3">
        <v>567</v>
      </c>
      <c r="D16" s="355">
        <v>567</v>
      </c>
      <c r="E16" s="356"/>
      <c r="F16" s="40" t="s">
        <v>76</v>
      </c>
      <c r="G16" s="40"/>
      <c r="H16" s="40" t="s">
        <v>75</v>
      </c>
      <c r="I16" s="355">
        <v>78804.3</v>
      </c>
      <c r="J16" s="356"/>
      <c r="K16" s="87">
        <v>0.9</v>
      </c>
      <c r="L16" s="3">
        <f t="shared" ref="L16:L21" si="0">M16+O16</f>
        <v>69955.08</v>
      </c>
      <c r="M16" s="355">
        <v>63452.68</v>
      </c>
      <c r="N16" s="356"/>
      <c r="O16" s="40">
        <f>Q16+S16</f>
        <v>6502.4</v>
      </c>
      <c r="P16" s="97">
        <f>0</f>
        <v>0</v>
      </c>
      <c r="Q16" s="355">
        <f>0</f>
        <v>0</v>
      </c>
      <c r="R16" s="356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3">
        <v>377</v>
      </c>
      <c r="D17" s="355">
        <v>377</v>
      </c>
      <c r="E17" s="356"/>
      <c r="F17" s="40" t="s">
        <v>76</v>
      </c>
      <c r="G17" s="330" t="s">
        <v>11</v>
      </c>
      <c r="H17" s="331"/>
      <c r="I17" s="355">
        <v>106395</v>
      </c>
      <c r="J17" s="356"/>
      <c r="K17" s="88">
        <v>0.9</v>
      </c>
      <c r="L17" s="3">
        <f t="shared" si="0"/>
        <v>96255.54</v>
      </c>
      <c r="M17" s="355">
        <v>3576.03</v>
      </c>
      <c r="N17" s="356"/>
      <c r="O17" s="40">
        <f>Q17+S17</f>
        <v>92679.51</v>
      </c>
      <c r="P17" s="97">
        <f>0</f>
        <v>0</v>
      </c>
      <c r="Q17" s="355">
        <v>72000</v>
      </c>
      <c r="R17" s="356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3">
        <v>502</v>
      </c>
      <c r="D18" s="355">
        <v>502</v>
      </c>
      <c r="E18" s="356"/>
      <c r="F18" s="40" t="s">
        <v>76</v>
      </c>
      <c r="G18" s="330" t="s">
        <v>11</v>
      </c>
      <c r="H18" s="331"/>
      <c r="I18" s="355">
        <v>110501.12</v>
      </c>
      <c r="J18" s="356"/>
      <c r="K18" s="88">
        <v>0.9</v>
      </c>
      <c r="L18" s="3">
        <f t="shared" si="0"/>
        <v>92937.2</v>
      </c>
      <c r="M18" s="355">
        <v>20602.2</v>
      </c>
      <c r="N18" s="356"/>
      <c r="O18" s="40">
        <f>Q18+S18</f>
        <v>72335</v>
      </c>
      <c r="P18" s="97">
        <f>0</f>
        <v>0</v>
      </c>
      <c r="Q18" s="355">
        <v>43335</v>
      </c>
      <c r="R18" s="356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3">
        <v>1064</v>
      </c>
      <c r="D19" s="355">
        <v>1064</v>
      </c>
      <c r="E19" s="356"/>
      <c r="F19" s="40" t="s">
        <v>76</v>
      </c>
      <c r="G19" s="330" t="s">
        <v>12</v>
      </c>
      <c r="H19" s="331"/>
      <c r="I19" s="355">
        <v>114278</v>
      </c>
      <c r="J19" s="356"/>
      <c r="K19" s="88">
        <v>0.9</v>
      </c>
      <c r="L19" s="3">
        <f t="shared" si="0"/>
        <v>90793.62</v>
      </c>
      <c r="M19" s="355">
        <v>39655.74</v>
      </c>
      <c r="N19" s="356"/>
      <c r="O19" s="40">
        <f>Q19+S19</f>
        <v>51137.880000000005</v>
      </c>
      <c r="P19" s="97">
        <f>0</f>
        <v>0</v>
      </c>
      <c r="Q19" s="355">
        <v>40298.870000000003</v>
      </c>
      <c r="R19" s="356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51" t="s">
        <v>38</v>
      </c>
      <c r="C20" s="118">
        <v>1329</v>
      </c>
      <c r="D20" s="363">
        <v>1329</v>
      </c>
      <c r="E20" s="364"/>
      <c r="F20" s="3" t="s">
        <v>76</v>
      </c>
      <c r="G20" s="363" t="s">
        <v>11</v>
      </c>
      <c r="H20" s="364"/>
      <c r="I20" s="355">
        <v>167041.60000000001</v>
      </c>
      <c r="J20" s="356"/>
      <c r="K20" s="93">
        <v>0.9</v>
      </c>
      <c r="L20" s="3">
        <f t="shared" si="0"/>
        <v>117514.59</v>
      </c>
      <c r="M20" s="363">
        <v>14514.59</v>
      </c>
      <c r="N20" s="364"/>
      <c r="O20" s="3">
        <f>Q20+S20</f>
        <v>103000</v>
      </c>
      <c r="P20" s="97">
        <f>0</f>
        <v>0</v>
      </c>
      <c r="Q20" s="355">
        <f>72163-15000</f>
        <v>57163</v>
      </c>
      <c r="R20" s="356"/>
      <c r="S20" s="3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355">
        <v>104103</v>
      </c>
      <c r="J21" s="356"/>
      <c r="K21" s="87">
        <v>0.9</v>
      </c>
      <c r="L21" s="3">
        <f t="shared" si="0"/>
        <v>94255.86</v>
      </c>
      <c r="M21" s="355">
        <v>59255.86</v>
      </c>
      <c r="N21" s="356"/>
      <c r="O21" s="3">
        <f>P21+Q21+S21</f>
        <v>35000</v>
      </c>
      <c r="P21" s="97">
        <f>0</f>
        <v>0</v>
      </c>
      <c r="Q21" s="355">
        <f>0</f>
        <v>0</v>
      </c>
      <c r="R21" s="35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14">
        <v>7</v>
      </c>
      <c r="B22" s="55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197">
        <v>170000</v>
      </c>
      <c r="J22" s="97">
        <f>SUM(I22)</f>
        <v>170000</v>
      </c>
      <c r="K22" s="18">
        <v>0.9</v>
      </c>
      <c r="L22" s="3">
        <f>O22</f>
        <v>166215.82</v>
      </c>
      <c r="M22" s="85"/>
      <c r="N22" s="97">
        <v>0</v>
      </c>
      <c r="O22" s="3">
        <f>Q22+S22</f>
        <v>166215.82</v>
      </c>
      <c r="P22" s="97">
        <f>0</f>
        <v>0</v>
      </c>
      <c r="Q22" s="355">
        <f>37800+10349.82-19000</f>
        <v>29149.82</v>
      </c>
      <c r="R22" s="356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197">
        <v>117314.16</v>
      </c>
      <c r="J23" s="97">
        <f>SUM(I23)</f>
        <v>117314.16</v>
      </c>
      <c r="K23" s="18">
        <v>0.9</v>
      </c>
      <c r="L23" s="3">
        <f>O23</f>
        <v>107628.16</v>
      </c>
      <c r="M23" s="85"/>
      <c r="N23" s="97">
        <v>0</v>
      </c>
      <c r="O23" s="3">
        <f>Q23+S23</f>
        <v>107628.16</v>
      </c>
      <c r="P23" s="97">
        <f>0</f>
        <v>0</v>
      </c>
      <c r="Q23" s="355">
        <f>23000+19000+15536.08-20000-6203</f>
        <v>31333.08</v>
      </c>
      <c r="R23" s="356"/>
      <c r="S23" s="3">
        <v>76295.08</v>
      </c>
    </row>
    <row r="24" spans="1:61" ht="55.5" customHeight="1" x14ac:dyDescent="0.3">
      <c r="A24" s="14">
        <v>9</v>
      </c>
      <c r="B24" s="56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197">
        <v>122000</v>
      </c>
      <c r="J24" s="97">
        <f>SUM(I24)</f>
        <v>122000</v>
      </c>
      <c r="K24" s="18">
        <v>0.9</v>
      </c>
      <c r="L24" s="3">
        <f>O24</f>
        <v>111019.99999999999</v>
      </c>
      <c r="M24" s="85"/>
      <c r="N24" s="97">
        <v>0</v>
      </c>
      <c r="O24" s="3">
        <f>Q24+S24</f>
        <v>111019.99999999999</v>
      </c>
      <c r="P24" s="97">
        <f>0</f>
        <v>0</v>
      </c>
      <c r="Q24" s="355">
        <f>19000+10000+2609.49-20000+23978.71-8126.2-6203+1378.6</f>
        <v>22637.599999999995</v>
      </c>
      <c r="R24" s="356"/>
      <c r="S24" s="3">
        <v>88382.399999999994</v>
      </c>
    </row>
    <row r="25" spans="1:61" ht="53.25" customHeight="1" x14ac:dyDescent="0.3">
      <c r="A25" s="14">
        <v>10</v>
      </c>
      <c r="B25" s="55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197">
        <v>120200</v>
      </c>
      <c r="J25" s="97">
        <f>SUM(I25)</f>
        <v>120200</v>
      </c>
      <c r="K25" s="18">
        <v>0.9</v>
      </c>
      <c r="L25" s="3">
        <f>O25</f>
        <v>109382</v>
      </c>
      <c r="M25" s="85"/>
      <c r="N25" s="97">
        <v>0</v>
      </c>
      <c r="O25" s="3">
        <f>Q25+S25</f>
        <v>109382</v>
      </c>
      <c r="P25" s="97">
        <f>0</f>
        <v>0</v>
      </c>
      <c r="Q25" s="355">
        <f>22000+38000-944.77-27000-6203-0.49</f>
        <v>25851.74</v>
      </c>
      <c r="R25" s="356"/>
      <c r="S25" s="3">
        <v>83530.259999999995</v>
      </c>
    </row>
    <row r="26" spans="1:61" ht="42" customHeight="1" x14ac:dyDescent="0.3">
      <c r="A26" s="431"/>
      <c r="B26" s="432"/>
      <c r="C26" s="244">
        <f>SUM(C16:C25)</f>
        <v>8027.8</v>
      </c>
      <c r="D26" s="244">
        <f>SUM(D16:D25)</f>
        <v>3839</v>
      </c>
      <c r="E26" s="244">
        <v>8027.8</v>
      </c>
      <c r="F26" s="244"/>
      <c r="G26" s="244"/>
      <c r="H26" s="244"/>
      <c r="I26" s="433">
        <f>SUM(I16:I25)</f>
        <v>1210637.1800000002</v>
      </c>
      <c r="J26" s="434"/>
      <c r="K26" s="243"/>
      <c r="L26" s="244">
        <f>SUM(L16:L25)</f>
        <v>1055957.8700000001</v>
      </c>
      <c r="M26" s="437">
        <f>SUM(M16:M25)</f>
        <v>201057.09999999998</v>
      </c>
      <c r="N26" s="438"/>
      <c r="O26" s="244">
        <f>SUM(O16:O25)</f>
        <v>854900.77</v>
      </c>
      <c r="P26" s="244">
        <v>0</v>
      </c>
      <c r="Q26" s="437">
        <f>SUM(Q16:R25)</f>
        <v>321769.11</v>
      </c>
      <c r="R26" s="438"/>
      <c r="S26" s="37">
        <f>SUM(S16:S25)</f>
        <v>533131.66</v>
      </c>
      <c r="T26" s="200"/>
      <c r="U26" s="137">
        <f>Q26-400000</f>
        <v>-78230.890000000014</v>
      </c>
    </row>
    <row r="27" spans="1:61" ht="51.75" hidden="1" customHeight="1" x14ac:dyDescent="0.2">
      <c r="A27" s="14"/>
      <c r="B27" s="55" t="s">
        <v>46</v>
      </c>
      <c r="C27" s="445"/>
      <c r="D27" s="446"/>
      <c r="E27" s="138"/>
      <c r="F27" s="445"/>
      <c r="G27" s="446"/>
      <c r="H27" s="14"/>
      <c r="I27" s="445"/>
      <c r="J27" s="446"/>
      <c r="K27" s="14"/>
      <c r="L27" s="445"/>
      <c r="M27" s="446"/>
      <c r="N27" s="14"/>
      <c r="O27" s="139"/>
      <c r="P27" s="12"/>
      <c r="Q27" s="447"/>
      <c r="R27" s="446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448"/>
      <c r="R28" s="448"/>
      <c r="S28" s="62">
        <v>258297.66</v>
      </c>
      <c r="T28" s="192"/>
    </row>
    <row r="29" spans="1:61" ht="26.25" customHeight="1" x14ac:dyDescent="0.2">
      <c r="A29" s="14"/>
      <c r="B29" s="425" t="s">
        <v>104</v>
      </c>
      <c r="C29" s="426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  <c r="S29" s="427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55">
        <v>113514</v>
      </c>
      <c r="J30" s="356"/>
      <c r="K30" s="3">
        <v>0.9</v>
      </c>
      <c r="L30" s="3">
        <f>M30+O30</f>
        <v>91482.12</v>
      </c>
      <c r="M30" s="355">
        <v>40967.75</v>
      </c>
      <c r="N30" s="356"/>
      <c r="O30" s="3">
        <f>Q30+S30</f>
        <v>50514.37</v>
      </c>
      <c r="P30" s="97">
        <f>Q30</f>
        <v>50514.37</v>
      </c>
      <c r="Q30" s="355">
        <v>50514.37</v>
      </c>
      <c r="R30" s="35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v>64634.74</v>
      </c>
      <c r="M31" s="85"/>
      <c r="N31" s="97">
        <v>29144.61</v>
      </c>
      <c r="O31" s="3">
        <f>Q31+S31</f>
        <v>27716.52</v>
      </c>
      <c r="P31" s="97">
        <f>Q31</f>
        <v>27716.52</v>
      </c>
      <c r="Q31" s="355">
        <v>27716.52</v>
      </c>
      <c r="R31" s="356"/>
      <c r="S31" s="3">
        <v>0</v>
      </c>
      <c r="T31" s="136">
        <v>29144.61</v>
      </c>
    </row>
    <row r="32" spans="1:61" ht="26.25" customHeight="1" x14ac:dyDescent="0.2">
      <c r="A32" s="431" t="s">
        <v>94</v>
      </c>
      <c r="B32" s="432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>I26+I30+I31</f>
        <v>1398929.1800000002</v>
      </c>
      <c r="J32" s="155">
        <f>J26+J30+J31</f>
        <v>74778</v>
      </c>
      <c r="K32" s="155">
        <f>K26+K30+K31</f>
        <v>0.9</v>
      </c>
      <c r="L32" s="155">
        <f>L26+L30+L31</f>
        <v>1212074.7300000002</v>
      </c>
      <c r="M32" s="155">
        <f>M26+M30+M31</f>
        <v>242024.84999999998</v>
      </c>
      <c r="N32" s="155">
        <f>M26+M30+N31</f>
        <v>271169.45999999996</v>
      </c>
      <c r="O32" s="155">
        <f>O26+O30+O31</f>
        <v>933131.66</v>
      </c>
      <c r="P32" s="245">
        <f>SUM(P30:P31)</f>
        <v>78230.89</v>
      </c>
      <c r="Q32" s="463">
        <f>Q26+Q30+Q31</f>
        <v>400000</v>
      </c>
      <c r="R32" s="464"/>
      <c r="S32" s="37">
        <f>S26</f>
        <v>533131.66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454">
        <v>400000</v>
      </c>
      <c r="R33" s="454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454">
        <f>Q26+Q30+Q31</f>
        <v>400000</v>
      </c>
      <c r="R34" s="454"/>
      <c r="S34" s="100"/>
    </row>
    <row r="35" spans="1:19" ht="36.75" customHeight="1" x14ac:dyDescent="0.2">
      <c r="A35" s="449" t="s">
        <v>27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1"/>
    </row>
    <row r="36" spans="1:19" s="101" customFormat="1" ht="80.25" customHeight="1" x14ac:dyDescent="0.2">
      <c r="A36" s="14">
        <v>1</v>
      </c>
      <c r="B36" s="15" t="s">
        <v>52</v>
      </c>
      <c r="C36" s="341">
        <v>581</v>
      </c>
      <c r="D36" s="342"/>
      <c r="E36" s="16" t="s">
        <v>39</v>
      </c>
      <c r="F36" s="61" t="s">
        <v>76</v>
      </c>
      <c r="G36" s="61" t="s">
        <v>76</v>
      </c>
      <c r="H36" s="73" t="s">
        <v>7</v>
      </c>
      <c r="I36" s="355">
        <v>91513.3</v>
      </c>
      <c r="J36" s="356"/>
      <c r="K36" s="197"/>
      <c r="L36" s="355">
        <v>73959.7</v>
      </c>
      <c r="M36" s="356"/>
      <c r="N36" s="3">
        <v>62641.85</v>
      </c>
      <c r="O36" s="3">
        <v>1973.18</v>
      </c>
      <c r="P36" s="3">
        <f>0</f>
        <v>0</v>
      </c>
      <c r="Q36" s="355">
        <f>0</f>
        <v>0</v>
      </c>
      <c r="R36" s="356"/>
      <c r="S36" s="3">
        <f>1973.18</f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55">
        <v>70673.399999999994</v>
      </c>
      <c r="J37" s="356"/>
      <c r="K37" s="18">
        <v>0.9</v>
      </c>
      <c r="L37" s="3">
        <v>60339.6</v>
      </c>
      <c r="M37" s="355">
        <v>50670.04</v>
      </c>
      <c r="N37" s="356"/>
      <c r="O37" s="3">
        <f>'[1]Подрядный способ'!$J$5</f>
        <v>2028.02</v>
      </c>
      <c r="P37" s="97">
        <f>0</f>
        <v>0</v>
      </c>
      <c r="Q37" s="355">
        <f>0</f>
        <v>0</v>
      </c>
      <c r="R37" s="356"/>
      <c r="S37" s="3">
        <f>O37</f>
        <v>2028.02</v>
      </c>
    </row>
    <row r="38" spans="1:19" ht="38.25" customHeight="1" x14ac:dyDescent="0.3">
      <c r="A38" s="4"/>
      <c r="B38" s="159" t="s">
        <v>92</v>
      </c>
      <c r="C38" s="32"/>
      <c r="D38" s="33"/>
      <c r="E38" s="33"/>
      <c r="F38" s="33"/>
      <c r="G38" s="33"/>
      <c r="H38" s="33"/>
      <c r="I38" s="433">
        <f>SUM(I36:J37)</f>
        <v>162186.70000000001</v>
      </c>
      <c r="J38" s="434"/>
      <c r="K38" s="36"/>
      <c r="L38" s="37">
        <f>SUM(L36:L37)</f>
        <v>134299.29999999999</v>
      </c>
      <c r="M38" s="433">
        <f>SUM(M36:N37)</f>
        <v>113311.89</v>
      </c>
      <c r="N38" s="434"/>
      <c r="O38" s="37">
        <f>P38+Q38+S38</f>
        <v>4001.2</v>
      </c>
      <c r="P38" s="66"/>
      <c r="Q38" s="376">
        <f>SUM(Q36:R37)</f>
        <v>0</v>
      </c>
      <c r="R38" s="455"/>
      <c r="S38" s="37">
        <f>SUM(S36:S37)</f>
        <v>4001.2</v>
      </c>
    </row>
    <row r="39" spans="1:19" ht="42" hidden="1" customHeight="1" x14ac:dyDescent="0.3">
      <c r="A39" s="4"/>
      <c r="B39" s="6" t="s">
        <v>46</v>
      </c>
      <c r="C39" s="32"/>
      <c r="D39" s="33"/>
      <c r="E39" s="33"/>
      <c r="F39" s="33"/>
      <c r="G39" s="33"/>
      <c r="H39" s="33"/>
      <c r="I39" s="197"/>
      <c r="J39" s="198"/>
      <c r="K39" s="201"/>
      <c r="L39" s="3"/>
      <c r="M39" s="34"/>
      <c r="N39" s="97"/>
      <c r="O39" s="37"/>
      <c r="P39" s="66"/>
      <c r="Q39" s="65"/>
      <c r="R39" s="35"/>
      <c r="S39" s="37">
        <f>S38</f>
        <v>4001.2</v>
      </c>
    </row>
    <row r="40" spans="1:19" ht="0.75" hidden="1" customHeight="1" x14ac:dyDescent="0.2">
      <c r="A40" s="337" t="s">
        <v>28</v>
      </c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9"/>
    </row>
    <row r="41" spans="1:19" s="43" customFormat="1" ht="75.75" hidden="1" customHeight="1" x14ac:dyDescent="0.2">
      <c r="A41" s="8" t="s">
        <v>41</v>
      </c>
      <c r="B41" s="63" t="s">
        <v>41</v>
      </c>
      <c r="C41" s="44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197" t="s">
        <v>41</v>
      </c>
      <c r="J41" s="198"/>
      <c r="K41" s="198"/>
      <c r="L41" s="3" t="s">
        <v>41</v>
      </c>
      <c r="M41" s="68"/>
      <c r="N41" s="97" t="s">
        <v>41</v>
      </c>
      <c r="O41" s="40" t="s">
        <v>41</v>
      </c>
      <c r="P41" s="41" t="s">
        <v>41</v>
      </c>
      <c r="Q41" s="42" t="s">
        <v>41</v>
      </c>
      <c r="R41" s="64"/>
      <c r="S41" s="68" t="s">
        <v>41</v>
      </c>
    </row>
    <row r="42" spans="1:19" s="43" customFormat="1" ht="33.75" hidden="1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1:19" ht="46.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24.75" customHeight="1" x14ac:dyDescent="0.2">
      <c r="A44" s="425" t="s">
        <v>51</v>
      </c>
      <c r="B44" s="426"/>
      <c r="C44" s="426"/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7"/>
    </row>
    <row r="45" spans="1:19" ht="60.75" customHeight="1" x14ac:dyDescent="0.2">
      <c r="A45" s="14" t="s">
        <v>71</v>
      </c>
      <c r="B45" s="59" t="s">
        <v>10</v>
      </c>
      <c r="C45" s="129">
        <v>1717</v>
      </c>
      <c r="D45" s="73"/>
      <c r="E45" s="129"/>
      <c r="F45" s="340" t="s">
        <v>74</v>
      </c>
      <c r="G45" s="334"/>
      <c r="H45" s="73" t="s">
        <v>75</v>
      </c>
      <c r="I45" s="341"/>
      <c r="J45" s="342"/>
      <c r="K45" s="98"/>
      <c r="L45" s="355"/>
      <c r="M45" s="356"/>
      <c r="N45" s="3">
        <v>0</v>
      </c>
      <c r="O45" s="3">
        <v>12000</v>
      </c>
      <c r="P45" s="3">
        <v>0</v>
      </c>
      <c r="Q45" s="355">
        <v>0</v>
      </c>
      <c r="R45" s="356"/>
      <c r="S45" s="3">
        <f>O45</f>
        <v>12000</v>
      </c>
    </row>
    <row r="46" spans="1:19" ht="63.75" customHeight="1" x14ac:dyDescent="0.2">
      <c r="A46" s="14">
        <v>2</v>
      </c>
      <c r="B46" s="59" t="s">
        <v>55</v>
      </c>
      <c r="C46" s="129">
        <v>1206</v>
      </c>
      <c r="D46" s="73"/>
      <c r="E46" s="129"/>
      <c r="F46" s="340" t="s">
        <v>86</v>
      </c>
      <c r="G46" s="334"/>
      <c r="H46" s="73" t="s">
        <v>13</v>
      </c>
      <c r="I46" s="341"/>
      <c r="J46" s="342"/>
      <c r="K46" s="61"/>
      <c r="L46" s="355"/>
      <c r="M46" s="356"/>
      <c r="N46" s="3">
        <v>0</v>
      </c>
      <c r="O46" s="3">
        <v>12000</v>
      </c>
      <c r="P46" s="3">
        <f>0</f>
        <v>0</v>
      </c>
      <c r="Q46" s="355">
        <f>0</f>
        <v>0</v>
      </c>
      <c r="R46" s="356"/>
      <c r="S46" s="3">
        <v>11000</v>
      </c>
    </row>
    <row r="47" spans="1:19" ht="62.25" customHeight="1" x14ac:dyDescent="0.2">
      <c r="A47" s="14">
        <v>3</v>
      </c>
      <c r="B47" s="54" t="s">
        <v>83</v>
      </c>
      <c r="C47" s="129">
        <v>514</v>
      </c>
      <c r="D47" s="73"/>
      <c r="E47" s="129"/>
      <c r="F47" s="340" t="s">
        <v>13</v>
      </c>
      <c r="G47" s="334"/>
      <c r="H47" s="73" t="s">
        <v>9</v>
      </c>
      <c r="I47" s="341"/>
      <c r="J47" s="342"/>
      <c r="K47" s="61"/>
      <c r="L47" s="355"/>
      <c r="M47" s="356"/>
      <c r="N47" s="3">
        <v>0</v>
      </c>
      <c r="O47" s="3">
        <f>S47</f>
        <v>8000</v>
      </c>
      <c r="P47" s="3">
        <f>0</f>
        <v>0</v>
      </c>
      <c r="Q47" s="355">
        <f>0</f>
        <v>0</v>
      </c>
      <c r="R47" s="356"/>
      <c r="S47" s="3">
        <v>8000</v>
      </c>
    </row>
    <row r="48" spans="1:19" ht="60.75" customHeight="1" x14ac:dyDescent="0.2">
      <c r="A48" s="14">
        <v>4</v>
      </c>
      <c r="B48" s="59" t="s">
        <v>93</v>
      </c>
      <c r="C48" s="16">
        <v>365</v>
      </c>
      <c r="D48" s="73"/>
      <c r="E48" s="129"/>
      <c r="F48" s="340" t="s">
        <v>12</v>
      </c>
      <c r="G48" s="334"/>
      <c r="H48" s="73" t="s">
        <v>7</v>
      </c>
      <c r="I48" s="341"/>
      <c r="J48" s="342"/>
      <c r="K48" s="61"/>
      <c r="L48" s="462"/>
      <c r="M48" s="462"/>
      <c r="N48" s="3">
        <v>0</v>
      </c>
      <c r="O48" s="3">
        <f>S48</f>
        <v>8000</v>
      </c>
      <c r="P48" s="3">
        <f>0</f>
        <v>0</v>
      </c>
      <c r="Q48" s="355">
        <f>0</f>
        <v>0</v>
      </c>
      <c r="R48" s="356"/>
      <c r="S48" s="3">
        <v>8000</v>
      </c>
    </row>
    <row r="49" spans="1:21" ht="60.75" customHeight="1" x14ac:dyDescent="0.2">
      <c r="A49" s="14">
        <v>5</v>
      </c>
      <c r="B49" s="59" t="s">
        <v>57</v>
      </c>
      <c r="C49" s="129">
        <v>697</v>
      </c>
      <c r="D49" s="73"/>
      <c r="E49" s="129"/>
      <c r="F49" s="340" t="s">
        <v>12</v>
      </c>
      <c r="G49" s="334"/>
      <c r="H49" s="73" t="s">
        <v>7</v>
      </c>
      <c r="I49" s="341"/>
      <c r="J49" s="342"/>
      <c r="K49" s="61"/>
      <c r="L49" s="355"/>
      <c r="M49" s="356"/>
      <c r="N49" s="3">
        <v>0</v>
      </c>
      <c r="O49" s="3">
        <f>S49</f>
        <v>10000</v>
      </c>
      <c r="P49" s="3">
        <f>0</f>
        <v>0</v>
      </c>
      <c r="Q49" s="355">
        <f>0</f>
        <v>0</v>
      </c>
      <c r="R49" s="356"/>
      <c r="S49" s="3">
        <v>10000</v>
      </c>
    </row>
    <row r="50" spans="1:21" ht="60.75" customHeight="1" x14ac:dyDescent="0.2">
      <c r="A50" s="14">
        <v>6</v>
      </c>
      <c r="B50" s="55" t="s">
        <v>79</v>
      </c>
      <c r="C50" s="129">
        <v>767</v>
      </c>
      <c r="D50" s="73"/>
      <c r="E50" s="129"/>
      <c r="F50" s="340" t="s">
        <v>74</v>
      </c>
      <c r="G50" s="334"/>
      <c r="H50" s="73" t="s">
        <v>75</v>
      </c>
      <c r="I50" s="61"/>
      <c r="J50" s="61"/>
      <c r="K50" s="61"/>
      <c r="L50" s="3"/>
      <c r="M50" s="3"/>
      <c r="N50" s="3">
        <v>0</v>
      </c>
      <c r="O50" s="3">
        <f>S50</f>
        <v>10499.99</v>
      </c>
      <c r="P50" s="3">
        <f>0</f>
        <v>0</v>
      </c>
      <c r="Q50" s="355">
        <f>0</f>
        <v>0</v>
      </c>
      <c r="R50" s="356"/>
      <c r="S50" s="3">
        <v>10499.99</v>
      </c>
    </row>
    <row r="51" spans="1:21" ht="60.75" customHeight="1" x14ac:dyDescent="0.2">
      <c r="A51" s="14">
        <v>7</v>
      </c>
      <c r="B51" s="56" t="s">
        <v>78</v>
      </c>
      <c r="C51" s="129">
        <v>610</v>
      </c>
      <c r="D51" s="73"/>
      <c r="E51" s="129"/>
      <c r="F51" s="340" t="s">
        <v>74</v>
      </c>
      <c r="G51" s="334"/>
      <c r="H51" s="73" t="s">
        <v>75</v>
      </c>
      <c r="I51" s="61"/>
      <c r="J51" s="61"/>
      <c r="K51" s="61"/>
      <c r="L51" s="3"/>
      <c r="M51" s="3"/>
      <c r="N51" s="3">
        <v>0</v>
      </c>
      <c r="O51" s="3">
        <f>S51</f>
        <v>10000</v>
      </c>
      <c r="P51" s="3">
        <f>0</f>
        <v>0</v>
      </c>
      <c r="Q51" s="355">
        <f>0</f>
        <v>0</v>
      </c>
      <c r="R51" s="356"/>
      <c r="S51" s="3">
        <v>10000</v>
      </c>
    </row>
    <row r="52" spans="1:21" ht="60.75" customHeight="1" x14ac:dyDescent="0.2">
      <c r="A52" s="14">
        <v>8</v>
      </c>
      <c r="B52" s="55" t="s">
        <v>58</v>
      </c>
      <c r="C52" s="129">
        <v>601</v>
      </c>
      <c r="D52" s="73"/>
      <c r="E52" s="129"/>
      <c r="F52" s="340" t="s">
        <v>74</v>
      </c>
      <c r="G52" s="334"/>
      <c r="H52" s="73" t="s">
        <v>75</v>
      </c>
      <c r="I52" s="61"/>
      <c r="J52" s="61"/>
      <c r="K52" s="61"/>
      <c r="L52" s="3"/>
      <c r="M52" s="3"/>
      <c r="N52" s="3">
        <v>0</v>
      </c>
      <c r="O52" s="3">
        <v>10000</v>
      </c>
      <c r="P52" s="3">
        <f>0</f>
        <v>0</v>
      </c>
      <c r="Q52" s="355">
        <f>0</f>
        <v>0</v>
      </c>
      <c r="R52" s="356"/>
      <c r="S52" s="3">
        <v>9000</v>
      </c>
    </row>
    <row r="53" spans="1:21" ht="49.5" customHeight="1" x14ac:dyDescent="0.2">
      <c r="A53" s="14">
        <v>9</v>
      </c>
      <c r="B53" s="119" t="s">
        <v>38</v>
      </c>
      <c r="C53" s="130">
        <v>1329</v>
      </c>
      <c r="D53" s="404"/>
      <c r="E53" s="405"/>
      <c r="F53" s="73"/>
      <c r="G53" s="359"/>
      <c r="H53" s="360"/>
      <c r="I53" s="355"/>
      <c r="J53" s="356"/>
      <c r="K53" s="93">
        <v>0.9</v>
      </c>
      <c r="L53" s="93"/>
      <c r="M53" s="363">
        <v>0</v>
      </c>
      <c r="N53" s="364"/>
      <c r="O53" s="118">
        <f>1889.55</f>
        <v>1889.55</v>
      </c>
      <c r="P53" s="242">
        <f>O53</f>
        <v>1889.55</v>
      </c>
      <c r="Q53" s="363">
        <v>0</v>
      </c>
      <c r="R53" s="364"/>
      <c r="S53" s="3">
        <v>1889.55</v>
      </c>
    </row>
    <row r="54" spans="1:21" ht="58.5" customHeight="1" x14ac:dyDescent="0.2">
      <c r="A54" s="14">
        <v>10</v>
      </c>
      <c r="B54" s="55" t="s">
        <v>80</v>
      </c>
      <c r="C54" s="129">
        <v>775</v>
      </c>
      <c r="D54" s="73"/>
      <c r="E54" s="129"/>
      <c r="F54" s="340" t="s">
        <v>8</v>
      </c>
      <c r="G54" s="334"/>
      <c r="H54" s="73" t="s">
        <v>12</v>
      </c>
      <c r="I54" s="61"/>
      <c r="J54" s="61"/>
      <c r="K54" s="61"/>
      <c r="L54" s="3"/>
      <c r="M54" s="3"/>
      <c r="N54" s="3">
        <v>0</v>
      </c>
      <c r="O54" s="3">
        <v>120000</v>
      </c>
      <c r="P54" s="3">
        <v>0</v>
      </c>
      <c r="Q54" s="355">
        <v>0</v>
      </c>
      <c r="R54" s="356"/>
      <c r="S54" s="3">
        <f>7000+2327.06</f>
        <v>9327.06</v>
      </c>
    </row>
    <row r="55" spans="1:21" ht="58.5" customHeight="1" x14ac:dyDescent="0.2">
      <c r="A55" s="14">
        <v>11</v>
      </c>
      <c r="B55" s="55" t="s">
        <v>107</v>
      </c>
      <c r="C55" s="129">
        <v>431</v>
      </c>
      <c r="D55" s="73"/>
      <c r="E55" s="129"/>
      <c r="F55" s="340" t="s">
        <v>13</v>
      </c>
      <c r="G55" s="334"/>
      <c r="H55" s="73" t="s">
        <v>47</v>
      </c>
      <c r="I55" s="61"/>
      <c r="J55" s="61"/>
      <c r="K55" s="61"/>
      <c r="L55" s="3"/>
      <c r="M55" s="3"/>
      <c r="N55" s="3">
        <v>0</v>
      </c>
      <c r="O55" s="3">
        <v>10000</v>
      </c>
      <c r="P55" s="3">
        <v>0</v>
      </c>
      <c r="Q55" s="355">
        <v>0</v>
      </c>
      <c r="R55" s="356"/>
      <c r="S55" s="3">
        <v>8500</v>
      </c>
    </row>
    <row r="56" spans="1:21" ht="58.5" customHeight="1" x14ac:dyDescent="0.2">
      <c r="A56" s="14">
        <v>12</v>
      </c>
      <c r="B56" s="55" t="s">
        <v>108</v>
      </c>
      <c r="C56" s="129">
        <v>932.55</v>
      </c>
      <c r="D56" s="73"/>
      <c r="E56" s="129"/>
      <c r="F56" s="340" t="s">
        <v>13</v>
      </c>
      <c r="G56" s="334"/>
      <c r="H56" s="73" t="s">
        <v>47</v>
      </c>
      <c r="I56" s="61"/>
      <c r="J56" s="61"/>
      <c r="K56" s="61"/>
      <c r="L56" s="3"/>
      <c r="M56" s="3"/>
      <c r="N56" s="3">
        <v>0</v>
      </c>
      <c r="O56" s="3">
        <v>14000</v>
      </c>
      <c r="P56" s="3">
        <v>0</v>
      </c>
      <c r="Q56" s="355">
        <v>0</v>
      </c>
      <c r="R56" s="356"/>
      <c r="S56" s="3">
        <v>11000</v>
      </c>
    </row>
    <row r="57" spans="1:21" ht="58.5" hidden="1" customHeight="1" x14ac:dyDescent="0.2">
      <c r="A57" s="14">
        <v>13</v>
      </c>
      <c r="B57" s="55" t="s">
        <v>109</v>
      </c>
      <c r="C57" s="129">
        <v>924</v>
      </c>
      <c r="D57" s="73"/>
      <c r="E57" s="129"/>
      <c r="F57" s="340" t="s">
        <v>13</v>
      </c>
      <c r="G57" s="334"/>
      <c r="H57" s="73" t="s">
        <v>47</v>
      </c>
      <c r="I57" s="61"/>
      <c r="J57" s="61"/>
      <c r="K57" s="61"/>
      <c r="L57" s="61"/>
      <c r="M57" s="61"/>
      <c r="N57" s="62"/>
      <c r="O57" s="62"/>
      <c r="P57" s="62"/>
      <c r="Q57" s="343"/>
      <c r="R57" s="344"/>
      <c r="S57" s="62"/>
    </row>
    <row r="58" spans="1:21" ht="58.5" hidden="1" customHeight="1" x14ac:dyDescent="0.2">
      <c r="A58" s="14">
        <v>14</v>
      </c>
      <c r="B58" s="55" t="s">
        <v>110</v>
      </c>
      <c r="C58" s="129">
        <v>730</v>
      </c>
      <c r="D58" s="73"/>
      <c r="E58" s="129"/>
      <c r="F58" s="340" t="s">
        <v>13</v>
      </c>
      <c r="G58" s="334"/>
      <c r="H58" s="73" t="s">
        <v>47</v>
      </c>
      <c r="I58" s="61"/>
      <c r="J58" s="61"/>
      <c r="K58" s="61"/>
      <c r="L58" s="61"/>
      <c r="M58" s="61"/>
      <c r="N58" s="62"/>
      <c r="O58" s="62"/>
      <c r="P58" s="62"/>
      <c r="Q58" s="343"/>
      <c r="R58" s="344"/>
      <c r="S58" s="62"/>
    </row>
    <row r="59" spans="1:21" ht="58.5" hidden="1" customHeight="1" x14ac:dyDescent="0.2">
      <c r="A59" s="14">
        <v>15</v>
      </c>
      <c r="B59" s="55" t="s">
        <v>112</v>
      </c>
      <c r="C59" s="129">
        <v>329</v>
      </c>
      <c r="D59" s="73"/>
      <c r="E59" s="129"/>
      <c r="F59" s="340" t="s">
        <v>13</v>
      </c>
      <c r="G59" s="334"/>
      <c r="H59" s="73" t="s">
        <v>47</v>
      </c>
      <c r="I59" s="61"/>
      <c r="J59" s="61"/>
      <c r="K59" s="61"/>
      <c r="L59" s="61"/>
      <c r="M59" s="61"/>
      <c r="N59" s="62"/>
      <c r="O59" s="62"/>
      <c r="P59" s="62"/>
      <c r="Q59" s="343"/>
      <c r="R59" s="344"/>
      <c r="S59" s="62"/>
    </row>
    <row r="60" spans="1:21" ht="58.5" hidden="1" customHeight="1" x14ac:dyDescent="0.2">
      <c r="A60" s="14">
        <v>16</v>
      </c>
      <c r="B60" s="55" t="s">
        <v>113</v>
      </c>
      <c r="C60" s="129">
        <v>554</v>
      </c>
      <c r="D60" s="73"/>
      <c r="E60" s="129"/>
      <c r="F60" s="340" t="s">
        <v>13</v>
      </c>
      <c r="G60" s="334"/>
      <c r="H60" s="73" t="s">
        <v>47</v>
      </c>
      <c r="I60" s="61"/>
      <c r="J60" s="61"/>
      <c r="K60" s="61"/>
      <c r="L60" s="61"/>
      <c r="M60" s="61"/>
      <c r="N60" s="62"/>
      <c r="O60" s="62"/>
      <c r="P60" s="62"/>
      <c r="Q60" s="343"/>
      <c r="R60" s="344"/>
      <c r="S60" s="62"/>
    </row>
    <row r="61" spans="1:21" ht="34.5" customHeight="1" x14ac:dyDescent="0.2">
      <c r="A61" s="4"/>
      <c r="B61" s="162" t="s">
        <v>105</v>
      </c>
      <c r="C61" s="161">
        <f>SUM(C45:C60)</f>
        <v>12481.55</v>
      </c>
      <c r="D61" s="162"/>
      <c r="E61" s="161"/>
      <c r="F61" s="162"/>
      <c r="G61" s="162"/>
      <c r="H61" s="162"/>
      <c r="I61" s="162"/>
      <c r="J61" s="162"/>
      <c r="K61" s="162"/>
      <c r="L61" s="162"/>
      <c r="M61" s="162"/>
      <c r="N61" s="22">
        <f>SUM(N45:N54)</f>
        <v>0</v>
      </c>
      <c r="O61" s="22">
        <f>SUM(O45:O54)</f>
        <v>202389.53999999998</v>
      </c>
      <c r="P61" s="22">
        <f>SUM(P45:P54)</f>
        <v>1889.55</v>
      </c>
      <c r="Q61" s="376">
        <f>SUM(Q45:R54)</f>
        <v>0</v>
      </c>
      <c r="R61" s="377"/>
      <c r="S61" s="22">
        <f>SUM(S45:S58)+S59+S60</f>
        <v>109216.59999999999</v>
      </c>
    </row>
    <row r="62" spans="1:21" ht="32.25" customHeight="1" x14ac:dyDescent="0.2">
      <c r="A62" s="449" t="s">
        <v>29</v>
      </c>
      <c r="B62" s="450"/>
      <c r="C62" s="450"/>
      <c r="D62" s="450"/>
      <c r="E62" s="450"/>
      <c r="F62" s="450"/>
      <c r="G62" s="450"/>
      <c r="H62" s="450"/>
      <c r="I62" s="450"/>
      <c r="J62" s="450"/>
      <c r="K62" s="450"/>
      <c r="L62" s="450"/>
      <c r="M62" s="450"/>
      <c r="N62" s="450"/>
      <c r="O62" s="450"/>
      <c r="P62" s="450"/>
      <c r="Q62" s="450"/>
      <c r="R62" s="450"/>
      <c r="S62" s="451"/>
    </row>
    <row r="63" spans="1:21" ht="45" customHeight="1" x14ac:dyDescent="0.3">
      <c r="A63" s="4"/>
      <c r="B63" s="239" t="s">
        <v>114</v>
      </c>
      <c r="C63" s="407"/>
      <c r="D63" s="408"/>
      <c r="E63" s="5"/>
      <c r="F63" s="407"/>
      <c r="G63" s="408"/>
      <c r="H63" s="4"/>
      <c r="I63" s="433">
        <f>I32+I38</f>
        <v>1561115.8800000001</v>
      </c>
      <c r="J63" s="434"/>
      <c r="K63" s="3"/>
      <c r="L63" s="433">
        <f>L32+L38</f>
        <v>1346374.0300000003</v>
      </c>
      <c r="M63" s="434"/>
      <c r="N63" s="37">
        <f>N32+M38+N61</f>
        <v>384481.35</v>
      </c>
      <c r="O63" s="37">
        <f>O32+O38+O61</f>
        <v>1139522.3999999999</v>
      </c>
      <c r="P63" s="37">
        <f>P32+P61</f>
        <v>80120.44</v>
      </c>
      <c r="Q63" s="433">
        <f>Q32</f>
        <v>400000</v>
      </c>
      <c r="R63" s="434"/>
      <c r="S63" s="37">
        <f>S26+S38+S61</f>
        <v>646349.46</v>
      </c>
      <c r="U63" s="192">
        <f>S63-S64</f>
        <v>388051.79999999993</v>
      </c>
    </row>
    <row r="64" spans="1:21" ht="38.25" customHeight="1" x14ac:dyDescent="0.2">
      <c r="A64" s="105"/>
      <c r="B64" s="59" t="s">
        <v>120</v>
      </c>
      <c r="C64" s="107"/>
      <c r="D64" s="108"/>
      <c r="E64" s="106"/>
      <c r="F64" s="107"/>
      <c r="G64" s="108"/>
      <c r="H64" s="105"/>
      <c r="I64" s="202"/>
      <c r="J64" s="203"/>
      <c r="K64" s="54"/>
      <c r="L64" s="204"/>
      <c r="M64" s="113"/>
      <c r="N64" s="140"/>
      <c r="O64" s="115"/>
      <c r="P64" s="116"/>
      <c r="Q64" s="346"/>
      <c r="R64" s="346"/>
      <c r="S64" s="3">
        <v>258297.66</v>
      </c>
    </row>
    <row r="66" spans="2:20" ht="25.5" x14ac:dyDescent="0.35">
      <c r="B66" s="231" t="s">
        <v>100</v>
      </c>
      <c r="C66" s="231"/>
      <c r="D66" s="231"/>
      <c r="E66" s="231"/>
      <c r="F66" s="231"/>
      <c r="G66" s="231"/>
      <c r="H66" s="231" t="s">
        <v>95</v>
      </c>
      <c r="I66" s="231"/>
      <c r="J66" s="147"/>
      <c r="K66" s="147"/>
      <c r="L66" s="147"/>
      <c r="M66" s="148"/>
      <c r="N66" s="148"/>
      <c r="P66" s="23"/>
      <c r="Q66" s="23"/>
      <c r="S66" s="21"/>
    </row>
    <row r="67" spans="2:20" x14ac:dyDescent="0.2">
      <c r="B67" s="233"/>
      <c r="C67" s="233"/>
      <c r="D67" s="233"/>
      <c r="E67" s="233"/>
      <c r="F67" s="233"/>
      <c r="G67" s="233"/>
      <c r="H67" s="233"/>
      <c r="I67" s="233"/>
      <c r="J67" s="148"/>
      <c r="K67" s="148"/>
      <c r="L67" s="148"/>
      <c r="M67" s="148"/>
      <c r="N67" s="148"/>
    </row>
    <row r="68" spans="2:20" ht="20.25" x14ac:dyDescent="0.3">
      <c r="B68" s="233"/>
      <c r="C68" s="233"/>
      <c r="D68" s="233"/>
      <c r="E68" s="233"/>
      <c r="F68" s="233"/>
      <c r="G68" s="233"/>
      <c r="H68" s="233"/>
      <c r="I68" s="233"/>
      <c r="J68" s="148"/>
      <c r="K68" s="148"/>
      <c r="L68" s="148"/>
      <c r="M68" s="148"/>
      <c r="N68" s="148"/>
      <c r="S68" s="241"/>
      <c r="T68" s="240">
        <v>258</v>
      </c>
    </row>
    <row r="69" spans="2:20" ht="20.25" x14ac:dyDescent="0.3">
      <c r="B69" s="231" t="s">
        <v>96</v>
      </c>
      <c r="C69" s="231"/>
      <c r="D69" s="231"/>
      <c r="E69" s="231"/>
      <c r="F69" s="231"/>
      <c r="G69" s="231"/>
      <c r="H69" s="231" t="s">
        <v>45</v>
      </c>
      <c r="I69" s="231"/>
      <c r="J69" s="147"/>
      <c r="K69" s="147"/>
      <c r="L69" s="147"/>
      <c r="M69" s="147"/>
      <c r="N69" s="147"/>
      <c r="S69" s="23"/>
      <c r="T69" s="240">
        <v>388</v>
      </c>
    </row>
    <row r="70" spans="2:20" ht="20.25" x14ac:dyDescent="0.3">
      <c r="B70" s="233"/>
      <c r="C70" s="233"/>
      <c r="D70" s="233"/>
      <c r="E70" s="233"/>
      <c r="F70" s="233"/>
      <c r="G70" s="233"/>
      <c r="H70" s="233"/>
      <c r="I70" s="233"/>
      <c r="J70" s="148"/>
      <c r="K70" s="148"/>
      <c r="L70" s="148"/>
      <c r="M70" s="148"/>
      <c r="N70" s="148"/>
      <c r="T70" s="240">
        <f ca="1">SUM(T68:T70)</f>
        <v>3618246</v>
      </c>
    </row>
    <row r="71" spans="2:20" x14ac:dyDescent="0.2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2:20" ht="22.5" customHeight="1" x14ac:dyDescent="0.2"/>
  </sheetData>
  <mergeCells count="142">
    <mergeCell ref="D17:E17"/>
    <mergeCell ref="G17:H17"/>
    <mergeCell ref="I17:J17"/>
    <mergeCell ref="M17:N17"/>
    <mergeCell ref="Q17:R17"/>
    <mergeCell ref="C7:P7"/>
    <mergeCell ref="D14:E14"/>
    <mergeCell ref="G14:H14"/>
    <mergeCell ref="I14:J14"/>
    <mergeCell ref="M14:N14"/>
    <mergeCell ref="Q14:R14"/>
    <mergeCell ref="A15:S15"/>
    <mergeCell ref="D16:E16"/>
    <mergeCell ref="I16:J16"/>
    <mergeCell ref="M16:N16"/>
    <mergeCell ref="Q16:R16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I37:J37"/>
    <mergeCell ref="M37:N37"/>
    <mergeCell ref="Q37:R37"/>
    <mergeCell ref="Q33:R33"/>
    <mergeCell ref="Q34:R34"/>
    <mergeCell ref="A35:S35"/>
    <mergeCell ref="C36:D36"/>
    <mergeCell ref="I36:J36"/>
    <mergeCell ref="L36:M36"/>
    <mergeCell ref="Q36:R36"/>
    <mergeCell ref="I38:J38"/>
    <mergeCell ref="M38:N38"/>
    <mergeCell ref="Q38:R38"/>
    <mergeCell ref="A40:S40"/>
    <mergeCell ref="A44:S44"/>
    <mergeCell ref="F45:G45"/>
    <mergeCell ref="I45:J45"/>
    <mergeCell ref="L45:M45"/>
    <mergeCell ref="Q45:R45"/>
    <mergeCell ref="F48:G48"/>
    <mergeCell ref="I48:J48"/>
    <mergeCell ref="L48:M48"/>
    <mergeCell ref="Q48:R48"/>
    <mergeCell ref="F49:G49"/>
    <mergeCell ref="I49:J49"/>
    <mergeCell ref="L49:M49"/>
    <mergeCell ref="Q49:R49"/>
    <mergeCell ref="F46:G46"/>
    <mergeCell ref="I46:J46"/>
    <mergeCell ref="L46:M46"/>
    <mergeCell ref="Q46:R46"/>
    <mergeCell ref="F47:G47"/>
    <mergeCell ref="I47:J47"/>
    <mergeCell ref="L47:M47"/>
    <mergeCell ref="Q47:R47"/>
    <mergeCell ref="D53:E53"/>
    <mergeCell ref="G53:H53"/>
    <mergeCell ref="I53:J53"/>
    <mergeCell ref="M53:N53"/>
    <mergeCell ref="Q53:R53"/>
    <mergeCell ref="F54:G54"/>
    <mergeCell ref="Q54:R54"/>
    <mergeCell ref="F50:G50"/>
    <mergeCell ref="Q50:R50"/>
    <mergeCell ref="F51:G51"/>
    <mergeCell ref="Q51:R51"/>
    <mergeCell ref="F52:G52"/>
    <mergeCell ref="Q52:R52"/>
    <mergeCell ref="C63:D63"/>
    <mergeCell ref="F63:G63"/>
    <mergeCell ref="I63:J63"/>
    <mergeCell ref="L63:M63"/>
    <mergeCell ref="Q63:R63"/>
    <mergeCell ref="Q64:R64"/>
    <mergeCell ref="Q61:R61"/>
    <mergeCell ref="A62:S62"/>
    <mergeCell ref="F55:G55"/>
    <mergeCell ref="Q55:R55"/>
    <mergeCell ref="F56:G56"/>
    <mergeCell ref="Q56:R56"/>
    <mergeCell ref="Q60:R60"/>
    <mergeCell ref="F60:G60"/>
    <mergeCell ref="Q59:R59"/>
    <mergeCell ref="F59:G59"/>
    <mergeCell ref="Q58:R58"/>
    <mergeCell ref="F58:G58"/>
    <mergeCell ref="Q57:R57"/>
    <mergeCell ref="F57:G57"/>
  </mergeCells>
  <pageMargins left="0" right="0" top="0" bottom="0" header="0" footer="0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BZ72"/>
  <sheetViews>
    <sheetView topLeftCell="B32" zoomScale="69" zoomScaleNormal="69" zoomScalePageLayoutView="60" workbookViewId="0">
      <selection activeCell="S13" sqref="S13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2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115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0" t="s">
        <v>59</v>
      </c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0"/>
    </row>
    <row r="8" spans="1:16302" ht="11.25" customHeight="1" x14ac:dyDescent="0.2">
      <c r="A8" s="10"/>
    </row>
    <row r="9" spans="1:16302" ht="43.5" customHeight="1" x14ac:dyDescent="0.2">
      <c r="A9" s="392" t="s">
        <v>4</v>
      </c>
      <c r="B9" s="411" t="s">
        <v>14</v>
      </c>
      <c r="C9" s="414" t="s">
        <v>15</v>
      </c>
      <c r="D9" s="411" t="s">
        <v>16</v>
      </c>
      <c r="E9" s="417"/>
      <c r="F9" s="411" t="s">
        <v>17</v>
      </c>
      <c r="G9" s="420"/>
      <c r="H9" s="417"/>
      <c r="I9" s="341" t="s">
        <v>18</v>
      </c>
      <c r="J9" s="422"/>
      <c r="K9" s="422"/>
      <c r="L9" s="342"/>
      <c r="M9" s="411" t="s">
        <v>65</v>
      </c>
      <c r="N9" s="417"/>
      <c r="O9" s="341" t="s">
        <v>68</v>
      </c>
      <c r="P9" s="422"/>
      <c r="Q9" s="422"/>
      <c r="R9" s="422"/>
      <c r="S9" s="342"/>
    </row>
    <row r="10" spans="1:16302" ht="18.75" customHeight="1" x14ac:dyDescent="0.2">
      <c r="A10" s="393"/>
      <c r="B10" s="412"/>
      <c r="C10" s="415"/>
      <c r="D10" s="412"/>
      <c r="E10" s="418"/>
      <c r="F10" s="413"/>
      <c r="G10" s="421"/>
      <c r="H10" s="419"/>
      <c r="I10" s="341" t="s">
        <v>77</v>
      </c>
      <c r="J10" s="422"/>
      <c r="K10" s="422"/>
      <c r="L10" s="342"/>
      <c r="M10" s="412"/>
      <c r="N10" s="418"/>
      <c r="O10" s="428" t="s">
        <v>19</v>
      </c>
      <c r="P10" s="422"/>
      <c r="Q10" s="422"/>
      <c r="R10" s="422"/>
      <c r="S10" s="342"/>
    </row>
    <row r="11" spans="1:16302" ht="18.75" customHeight="1" x14ac:dyDescent="0.2">
      <c r="A11" s="393"/>
      <c r="B11" s="412"/>
      <c r="C11" s="415"/>
      <c r="D11" s="412"/>
      <c r="E11" s="418"/>
      <c r="F11" s="61" t="s">
        <v>20</v>
      </c>
      <c r="G11" s="341" t="s">
        <v>21</v>
      </c>
      <c r="H11" s="342"/>
      <c r="I11" s="411" t="s">
        <v>22</v>
      </c>
      <c r="J11" s="417"/>
      <c r="K11" s="61"/>
      <c r="L11" s="414" t="s">
        <v>23</v>
      </c>
      <c r="M11" s="412"/>
      <c r="N11" s="418"/>
      <c r="O11" s="429"/>
      <c r="P11" s="417" t="s">
        <v>66</v>
      </c>
      <c r="Q11" s="411" t="s">
        <v>67</v>
      </c>
      <c r="R11" s="420"/>
      <c r="S11" s="417"/>
    </row>
    <row r="12" spans="1:16302" ht="18.75" customHeight="1" x14ac:dyDescent="0.2">
      <c r="A12" s="393"/>
      <c r="B12" s="412"/>
      <c r="C12" s="415"/>
      <c r="D12" s="412"/>
      <c r="E12" s="418"/>
      <c r="F12" s="61" t="s">
        <v>69</v>
      </c>
      <c r="G12" s="341" t="s">
        <v>69</v>
      </c>
      <c r="H12" s="342"/>
      <c r="I12" s="412"/>
      <c r="J12" s="418"/>
      <c r="K12" s="61"/>
      <c r="L12" s="415"/>
      <c r="M12" s="412"/>
      <c r="N12" s="418"/>
      <c r="O12" s="429"/>
      <c r="P12" s="418"/>
      <c r="Q12" s="413"/>
      <c r="R12" s="421"/>
      <c r="S12" s="419"/>
    </row>
    <row r="13" spans="1:16302" ht="131.25" customHeight="1" x14ac:dyDescent="0.2">
      <c r="A13" s="394"/>
      <c r="B13" s="413"/>
      <c r="C13" s="416"/>
      <c r="D13" s="413"/>
      <c r="E13" s="419"/>
      <c r="F13" s="61" t="s">
        <v>63</v>
      </c>
      <c r="G13" s="341" t="s">
        <v>64</v>
      </c>
      <c r="H13" s="342"/>
      <c r="I13" s="413"/>
      <c r="J13" s="419"/>
      <c r="K13" s="61"/>
      <c r="L13" s="416"/>
      <c r="M13" s="413"/>
      <c r="N13" s="419"/>
      <c r="O13" s="430"/>
      <c r="P13" s="419"/>
      <c r="Q13" s="341" t="s">
        <v>24</v>
      </c>
      <c r="R13" s="342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23">
        <v>4</v>
      </c>
      <c r="E14" s="424"/>
      <c r="F14" s="141">
        <v>5</v>
      </c>
      <c r="G14" s="423">
        <v>6</v>
      </c>
      <c r="H14" s="424"/>
      <c r="I14" s="423">
        <v>7</v>
      </c>
      <c r="J14" s="424"/>
      <c r="K14" s="141"/>
      <c r="L14" s="141">
        <v>8</v>
      </c>
      <c r="M14" s="423">
        <v>9</v>
      </c>
      <c r="N14" s="424"/>
      <c r="O14" s="166">
        <v>10</v>
      </c>
      <c r="P14" s="167">
        <v>11</v>
      </c>
      <c r="Q14" s="423">
        <v>12</v>
      </c>
      <c r="R14" s="424"/>
      <c r="S14" s="146">
        <v>13</v>
      </c>
    </row>
    <row r="15" spans="1:16302" ht="23.25" customHeight="1" x14ac:dyDescent="0.2">
      <c r="A15" s="425" t="s">
        <v>26</v>
      </c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7"/>
    </row>
    <row r="16" spans="1:16302" ht="65.25" customHeight="1" x14ac:dyDescent="0.3">
      <c r="A16" s="14">
        <v>1</v>
      </c>
      <c r="B16" s="15" t="s">
        <v>48</v>
      </c>
      <c r="C16" s="3">
        <v>567</v>
      </c>
      <c r="D16" s="355">
        <v>567</v>
      </c>
      <c r="E16" s="356"/>
      <c r="F16" s="40" t="s">
        <v>76</v>
      </c>
      <c r="G16" s="40"/>
      <c r="H16" s="40" t="s">
        <v>75</v>
      </c>
      <c r="I16" s="355">
        <v>75245</v>
      </c>
      <c r="J16" s="356"/>
      <c r="K16" s="87">
        <v>0.9</v>
      </c>
      <c r="L16" s="3">
        <f t="shared" ref="L16:L21" si="0">M16+O16</f>
        <v>69955.08</v>
      </c>
      <c r="M16" s="355">
        <v>63452.68</v>
      </c>
      <c r="N16" s="356"/>
      <c r="O16" s="40">
        <f>Q16+S16</f>
        <v>6502.4</v>
      </c>
      <c r="P16" s="97">
        <f>0</f>
        <v>0</v>
      </c>
      <c r="Q16" s="355">
        <f>0</f>
        <v>0</v>
      </c>
      <c r="R16" s="356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3">
        <v>377</v>
      </c>
      <c r="D17" s="355">
        <v>377</v>
      </c>
      <c r="E17" s="356"/>
      <c r="F17" s="40" t="s">
        <v>76</v>
      </c>
      <c r="G17" s="330" t="s">
        <v>11</v>
      </c>
      <c r="H17" s="331"/>
      <c r="I17" s="355">
        <v>106395</v>
      </c>
      <c r="J17" s="356"/>
      <c r="K17" s="88">
        <v>0.9</v>
      </c>
      <c r="L17" s="3">
        <f t="shared" si="0"/>
        <v>96255.54</v>
      </c>
      <c r="M17" s="355">
        <v>3576.03</v>
      </c>
      <c r="N17" s="356"/>
      <c r="O17" s="40">
        <f>Q17+S17</f>
        <v>92679.51</v>
      </c>
      <c r="P17" s="97">
        <f>0</f>
        <v>0</v>
      </c>
      <c r="Q17" s="355">
        <v>72000</v>
      </c>
      <c r="R17" s="356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3">
        <v>502</v>
      </c>
      <c r="D18" s="355">
        <v>502</v>
      </c>
      <c r="E18" s="356"/>
      <c r="F18" s="40" t="s">
        <v>76</v>
      </c>
      <c r="G18" s="330" t="s">
        <v>11</v>
      </c>
      <c r="H18" s="331"/>
      <c r="I18" s="355">
        <v>99451</v>
      </c>
      <c r="J18" s="356"/>
      <c r="K18" s="88">
        <v>0.9</v>
      </c>
      <c r="L18" s="3">
        <f t="shared" si="0"/>
        <v>92937.2</v>
      </c>
      <c r="M18" s="355">
        <v>20602.2</v>
      </c>
      <c r="N18" s="356"/>
      <c r="O18" s="40">
        <f>Q18+S18</f>
        <v>72335</v>
      </c>
      <c r="P18" s="97">
        <f>0</f>
        <v>0</v>
      </c>
      <c r="Q18" s="355">
        <v>43335</v>
      </c>
      <c r="R18" s="356"/>
      <c r="S18" s="3">
        <v>29000</v>
      </c>
    </row>
    <row r="19" spans="1:61" ht="54" customHeight="1" x14ac:dyDescent="0.2">
      <c r="A19" s="14">
        <v>4</v>
      </c>
      <c r="B19" s="252" t="s">
        <v>37</v>
      </c>
      <c r="C19" s="253">
        <v>1064</v>
      </c>
      <c r="D19" s="465">
        <v>1064</v>
      </c>
      <c r="E19" s="466"/>
      <c r="F19" s="253" t="s">
        <v>76</v>
      </c>
      <c r="G19" s="465" t="s">
        <v>12</v>
      </c>
      <c r="H19" s="466"/>
      <c r="I19" s="465">
        <v>114278</v>
      </c>
      <c r="J19" s="466"/>
      <c r="K19" s="254">
        <v>0.9</v>
      </c>
      <c r="L19" s="253">
        <f t="shared" si="0"/>
        <v>90793.62</v>
      </c>
      <c r="M19" s="465">
        <v>39655.74</v>
      </c>
      <c r="N19" s="466"/>
      <c r="O19" s="253">
        <f>Q19+S19</f>
        <v>51137.880000000005</v>
      </c>
      <c r="P19" s="255">
        <f>0</f>
        <v>0</v>
      </c>
      <c r="Q19" s="465">
        <v>40298.870000000003</v>
      </c>
      <c r="R19" s="466"/>
      <c r="S19" s="253">
        <f>(3000+39850.2)-14839.89-19541+2369.7</f>
        <v>10839.009999999998</v>
      </c>
    </row>
    <row r="20" spans="1:61" ht="39" customHeight="1" x14ac:dyDescent="0.25">
      <c r="A20" s="76">
        <v>5</v>
      </c>
      <c r="B20" s="249" t="s">
        <v>38</v>
      </c>
      <c r="C20" s="250">
        <v>1329</v>
      </c>
      <c r="D20" s="467">
        <v>1329</v>
      </c>
      <c r="E20" s="468"/>
      <c r="F20" s="37" t="s">
        <v>76</v>
      </c>
      <c r="G20" s="467" t="s">
        <v>11</v>
      </c>
      <c r="H20" s="468"/>
      <c r="I20" s="433">
        <v>140749</v>
      </c>
      <c r="J20" s="434"/>
      <c r="K20" s="251">
        <v>0.9</v>
      </c>
      <c r="L20" s="37">
        <f t="shared" si="0"/>
        <v>117514.59</v>
      </c>
      <c r="M20" s="467">
        <v>14514.59</v>
      </c>
      <c r="N20" s="468"/>
      <c r="O20" s="37">
        <f>Q20+S20</f>
        <v>103000</v>
      </c>
      <c r="P20" s="38">
        <f>0</f>
        <v>0</v>
      </c>
      <c r="Q20" s="433">
        <f>72163-15000</f>
        <v>57163</v>
      </c>
      <c r="R20" s="434"/>
      <c r="S20" s="37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355">
        <v>104103</v>
      </c>
      <c r="J21" s="356"/>
      <c r="K21" s="87">
        <v>0.9</v>
      </c>
      <c r="L21" s="3">
        <f t="shared" si="0"/>
        <v>94255.86</v>
      </c>
      <c r="M21" s="355">
        <v>59255.86</v>
      </c>
      <c r="N21" s="356"/>
      <c r="O21" s="3">
        <f>P21+Q21+S21</f>
        <v>35000</v>
      </c>
      <c r="P21" s="97">
        <f>0</f>
        <v>0</v>
      </c>
      <c r="Q21" s="355">
        <f>0</f>
        <v>0</v>
      </c>
      <c r="R21" s="35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14">
        <v>7</v>
      </c>
      <c r="B22" s="256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197">
        <v>170000</v>
      </c>
      <c r="J22" s="97">
        <f>SUM(I22)</f>
        <v>170000</v>
      </c>
      <c r="K22" s="18">
        <v>0.9</v>
      </c>
      <c r="L22" s="3">
        <f>O22</f>
        <v>166215.82</v>
      </c>
      <c r="M22" s="85"/>
      <c r="N22" s="97">
        <v>0</v>
      </c>
      <c r="O22" s="3">
        <f>Q22+S22</f>
        <v>166215.82</v>
      </c>
      <c r="P22" s="97">
        <f>0</f>
        <v>0</v>
      </c>
      <c r="Q22" s="355">
        <f>37800+10349.82-19000</f>
        <v>29149.82</v>
      </c>
      <c r="R22" s="356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197">
        <v>117314.16</v>
      </c>
      <c r="J23" s="97">
        <f>SUM(I23)</f>
        <v>117314.16</v>
      </c>
      <c r="K23" s="18">
        <v>0.9</v>
      </c>
      <c r="L23" s="3">
        <f>O23</f>
        <v>107628.16</v>
      </c>
      <c r="M23" s="85"/>
      <c r="N23" s="97">
        <v>0</v>
      </c>
      <c r="O23" s="3">
        <f>Q23+S23</f>
        <v>107628.16</v>
      </c>
      <c r="P23" s="97">
        <f>0</f>
        <v>0</v>
      </c>
      <c r="Q23" s="355">
        <f>23000+19000+15536.08-20000-6203</f>
        <v>31333.08</v>
      </c>
      <c r="R23" s="356"/>
      <c r="S23" s="3">
        <v>76295.08</v>
      </c>
    </row>
    <row r="24" spans="1:61" ht="55.5" customHeight="1" x14ac:dyDescent="0.3">
      <c r="A24" s="14">
        <v>9</v>
      </c>
      <c r="B24" s="56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197">
        <v>122000</v>
      </c>
      <c r="J24" s="97">
        <f>SUM(I24)</f>
        <v>122000</v>
      </c>
      <c r="K24" s="18">
        <v>0.9</v>
      </c>
      <c r="L24" s="3">
        <f>O24</f>
        <v>111019.99999999999</v>
      </c>
      <c r="M24" s="85"/>
      <c r="N24" s="97">
        <v>0</v>
      </c>
      <c r="O24" s="3">
        <f>Q24+S24</f>
        <v>111019.99999999999</v>
      </c>
      <c r="P24" s="97">
        <f>0</f>
        <v>0</v>
      </c>
      <c r="Q24" s="355">
        <f>19000+10000+2609.49-20000+23978.71-8126.2-6203+1378.6</f>
        <v>22637.599999999995</v>
      </c>
      <c r="R24" s="356"/>
      <c r="S24" s="3">
        <v>88382.399999999994</v>
      </c>
    </row>
    <row r="25" spans="1:61" ht="53.25" customHeight="1" x14ac:dyDescent="0.3">
      <c r="A25" s="14">
        <v>10</v>
      </c>
      <c r="B25" s="55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197">
        <v>120200</v>
      </c>
      <c r="J25" s="97">
        <f>SUM(I25)</f>
        <v>120200</v>
      </c>
      <c r="K25" s="18">
        <v>0.9</v>
      </c>
      <c r="L25" s="3">
        <f>O25</f>
        <v>109382</v>
      </c>
      <c r="M25" s="85"/>
      <c r="N25" s="97">
        <v>0</v>
      </c>
      <c r="O25" s="3">
        <f>Q25+S25</f>
        <v>109382</v>
      </c>
      <c r="P25" s="97">
        <f>0</f>
        <v>0</v>
      </c>
      <c r="Q25" s="355">
        <f>22000+38000-944.77-27000-6203-0.49</f>
        <v>25851.74</v>
      </c>
      <c r="R25" s="356"/>
      <c r="S25" s="3">
        <v>83530.259999999995</v>
      </c>
    </row>
    <row r="26" spans="1:61" ht="42" customHeight="1" x14ac:dyDescent="0.3">
      <c r="A26" s="431"/>
      <c r="B26" s="432"/>
      <c r="C26" s="244">
        <f>SUM(C16:C25)</f>
        <v>8027.8</v>
      </c>
      <c r="D26" s="244">
        <f>SUM(D16:D25)</f>
        <v>3839</v>
      </c>
      <c r="E26" s="244">
        <v>8027.8</v>
      </c>
      <c r="F26" s="244"/>
      <c r="G26" s="244"/>
      <c r="H26" s="244"/>
      <c r="I26" s="433">
        <f>SUM(I16:I25)</f>
        <v>1169735.1600000001</v>
      </c>
      <c r="J26" s="434"/>
      <c r="K26" s="243"/>
      <c r="L26" s="244">
        <f>SUM(L16:L25)</f>
        <v>1055957.8700000001</v>
      </c>
      <c r="M26" s="437">
        <f>SUM(M16:M25)</f>
        <v>201057.09999999998</v>
      </c>
      <c r="N26" s="438"/>
      <c r="O26" s="244">
        <f>SUM(O16:O25)</f>
        <v>854900.77</v>
      </c>
      <c r="P26" s="244">
        <v>0</v>
      </c>
      <c r="Q26" s="437">
        <f>SUM(Q16:R25)</f>
        <v>321769.11</v>
      </c>
      <c r="R26" s="438"/>
      <c r="S26" s="37">
        <f>SUM(S16:S25)</f>
        <v>533131.66</v>
      </c>
      <c r="T26" s="200"/>
      <c r="U26" s="137">
        <f>Q26-400000</f>
        <v>-78230.890000000014</v>
      </c>
    </row>
    <row r="27" spans="1:61" ht="51.75" hidden="1" customHeight="1" x14ac:dyDescent="0.2">
      <c r="A27" s="14"/>
      <c r="B27" s="55" t="s">
        <v>46</v>
      </c>
      <c r="C27" s="445"/>
      <c r="D27" s="446"/>
      <c r="E27" s="138"/>
      <c r="F27" s="445"/>
      <c r="G27" s="446"/>
      <c r="H27" s="14"/>
      <c r="I27" s="445"/>
      <c r="J27" s="446"/>
      <c r="K27" s="14"/>
      <c r="L27" s="445"/>
      <c r="M27" s="446"/>
      <c r="N27" s="14"/>
      <c r="O27" s="139"/>
      <c r="P27" s="12"/>
      <c r="Q27" s="447"/>
      <c r="R27" s="446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448"/>
      <c r="R28" s="448"/>
      <c r="S28" s="62">
        <v>258297.66</v>
      </c>
      <c r="T28" s="192"/>
    </row>
    <row r="29" spans="1:61" ht="26.25" customHeight="1" x14ac:dyDescent="0.2">
      <c r="A29" s="14"/>
      <c r="B29" s="425" t="s">
        <v>104</v>
      </c>
      <c r="C29" s="426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  <c r="S29" s="427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55">
        <v>113514</v>
      </c>
      <c r="J30" s="356"/>
      <c r="K30" s="3">
        <v>0.9</v>
      </c>
      <c r="L30" s="3">
        <f>M30+O30</f>
        <v>91482.12</v>
      </c>
      <c r="M30" s="355">
        <v>40967.75</v>
      </c>
      <c r="N30" s="356"/>
      <c r="O30" s="3">
        <f>Q30+S30</f>
        <v>50514.37</v>
      </c>
      <c r="P30" s="97">
        <f>Q30</f>
        <v>50514.37</v>
      </c>
      <c r="Q30" s="355">
        <v>50514.37</v>
      </c>
      <c r="R30" s="35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f>N31+O31</f>
        <v>56861.130000000005</v>
      </c>
      <c r="M31" s="85"/>
      <c r="N31" s="97">
        <v>29144.61</v>
      </c>
      <c r="O31" s="3">
        <f>Q31+S31</f>
        <v>27716.52</v>
      </c>
      <c r="P31" s="97">
        <f>Q31</f>
        <v>27716.52</v>
      </c>
      <c r="Q31" s="355">
        <v>27716.52</v>
      </c>
      <c r="R31" s="356"/>
      <c r="S31" s="3">
        <v>0</v>
      </c>
      <c r="T31" s="136">
        <v>29144.61</v>
      </c>
    </row>
    <row r="32" spans="1:61" ht="26.25" customHeight="1" x14ac:dyDescent="0.2">
      <c r="A32" s="431" t="s">
        <v>94</v>
      </c>
      <c r="B32" s="432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>I26+I30+I31</f>
        <v>1358027.1600000001</v>
      </c>
      <c r="J32" s="155">
        <f>J26+J30+J31</f>
        <v>74778</v>
      </c>
      <c r="K32" s="155">
        <f>K26+K30+K31</f>
        <v>0.9</v>
      </c>
      <c r="L32" s="155">
        <f>L26+L30+L31</f>
        <v>1204301.1200000001</v>
      </c>
      <c r="M32" s="155">
        <f>M26+M30+M31</f>
        <v>242024.84999999998</v>
      </c>
      <c r="N32" s="155">
        <f>M26+M30+N31</f>
        <v>271169.45999999996</v>
      </c>
      <c r="O32" s="155">
        <f>O26+O30+O31</f>
        <v>933131.66</v>
      </c>
      <c r="P32" s="245">
        <f>SUM(P30:P31)</f>
        <v>78230.89</v>
      </c>
      <c r="Q32" s="463">
        <f>Q26+Q30+Q31</f>
        <v>400000</v>
      </c>
      <c r="R32" s="464"/>
      <c r="S32" s="37">
        <f>S26</f>
        <v>533131.66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454">
        <v>400000</v>
      </c>
      <c r="R33" s="454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454">
        <f>Q26+Q30+Q31</f>
        <v>400000</v>
      </c>
      <c r="R34" s="454"/>
      <c r="S34" s="100"/>
    </row>
    <row r="35" spans="1:19" ht="36.75" customHeight="1" x14ac:dyDescent="0.2">
      <c r="A35" s="449" t="s">
        <v>27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1"/>
    </row>
    <row r="36" spans="1:19" s="101" customFormat="1" ht="80.25" customHeight="1" x14ac:dyDescent="0.2">
      <c r="A36" s="14">
        <v>1</v>
      </c>
      <c r="B36" s="15" t="s">
        <v>52</v>
      </c>
      <c r="C36" s="341">
        <v>581</v>
      </c>
      <c r="D36" s="342"/>
      <c r="E36" s="16" t="s">
        <v>39</v>
      </c>
      <c r="F36" s="61" t="s">
        <v>76</v>
      </c>
      <c r="G36" s="61" t="s">
        <v>76</v>
      </c>
      <c r="H36" s="73" t="s">
        <v>7</v>
      </c>
      <c r="I36" s="355">
        <v>84544</v>
      </c>
      <c r="J36" s="356"/>
      <c r="K36" s="197"/>
      <c r="L36" s="355">
        <v>73959.7</v>
      </c>
      <c r="M36" s="356"/>
      <c r="N36" s="3">
        <v>62641.85</v>
      </c>
      <c r="O36" s="3">
        <v>1973.18</v>
      </c>
      <c r="P36" s="3">
        <f>0</f>
        <v>0</v>
      </c>
      <c r="Q36" s="355">
        <f>0</f>
        <v>0</v>
      </c>
      <c r="R36" s="356"/>
      <c r="S36" s="3">
        <f>1973.18</f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55">
        <v>68226</v>
      </c>
      <c r="J37" s="356"/>
      <c r="K37" s="18">
        <v>0.9</v>
      </c>
      <c r="L37" s="3">
        <v>60339.6</v>
      </c>
      <c r="M37" s="355">
        <v>50670.04</v>
      </c>
      <c r="N37" s="356"/>
      <c r="O37" s="3">
        <f>'[1]Подрядный способ'!$J$5</f>
        <v>2028.02</v>
      </c>
      <c r="P37" s="97">
        <f>0</f>
        <v>0</v>
      </c>
      <c r="Q37" s="355">
        <f>0</f>
        <v>0</v>
      </c>
      <c r="R37" s="356"/>
      <c r="S37" s="3">
        <f>O37</f>
        <v>2028.02</v>
      </c>
    </row>
    <row r="38" spans="1:19" ht="38.25" customHeight="1" x14ac:dyDescent="0.3">
      <c r="A38" s="4"/>
      <c r="B38" s="159" t="s">
        <v>92</v>
      </c>
      <c r="C38" s="32"/>
      <c r="D38" s="33"/>
      <c r="E38" s="33"/>
      <c r="F38" s="33"/>
      <c r="G38" s="33"/>
      <c r="H38" s="33"/>
      <c r="I38" s="433">
        <f>SUM(I36:J37)</f>
        <v>152770</v>
      </c>
      <c r="J38" s="434"/>
      <c r="K38" s="36"/>
      <c r="L38" s="37">
        <f>SUM(L36:L37)</f>
        <v>134299.29999999999</v>
      </c>
      <c r="M38" s="433">
        <f>SUM(M36:N37)</f>
        <v>113311.89</v>
      </c>
      <c r="N38" s="434"/>
      <c r="O38" s="37">
        <f>P38+Q38+S38</f>
        <v>4001.2</v>
      </c>
      <c r="P38" s="66"/>
      <c r="Q38" s="376">
        <f>SUM(Q36:R37)</f>
        <v>0</v>
      </c>
      <c r="R38" s="455"/>
      <c r="S38" s="37">
        <f>SUM(S36:S37)</f>
        <v>4001.2</v>
      </c>
    </row>
    <row r="39" spans="1:19" ht="42" hidden="1" customHeight="1" x14ac:dyDescent="0.3">
      <c r="A39" s="4"/>
      <c r="B39" s="6" t="s">
        <v>46</v>
      </c>
      <c r="C39" s="32"/>
      <c r="D39" s="33"/>
      <c r="E39" s="33"/>
      <c r="F39" s="33"/>
      <c r="G39" s="33"/>
      <c r="H39" s="33"/>
      <c r="I39" s="197"/>
      <c r="J39" s="198"/>
      <c r="K39" s="201"/>
      <c r="L39" s="3"/>
      <c r="M39" s="34"/>
      <c r="N39" s="97"/>
      <c r="O39" s="37"/>
      <c r="P39" s="66"/>
      <c r="Q39" s="65"/>
      <c r="R39" s="35"/>
      <c r="S39" s="37">
        <f>S38</f>
        <v>4001.2</v>
      </c>
    </row>
    <row r="40" spans="1:19" ht="0.75" hidden="1" customHeight="1" x14ac:dyDescent="0.2">
      <c r="A40" s="337" t="s">
        <v>28</v>
      </c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9"/>
    </row>
    <row r="41" spans="1:19" s="43" customFormat="1" ht="75.75" hidden="1" customHeight="1" x14ac:dyDescent="0.2">
      <c r="A41" s="8" t="s">
        <v>41</v>
      </c>
      <c r="B41" s="63" t="s">
        <v>41</v>
      </c>
      <c r="C41" s="44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197" t="s">
        <v>41</v>
      </c>
      <c r="J41" s="198"/>
      <c r="K41" s="198"/>
      <c r="L41" s="3" t="s">
        <v>41</v>
      </c>
      <c r="M41" s="68"/>
      <c r="N41" s="97" t="s">
        <v>41</v>
      </c>
      <c r="O41" s="40" t="s">
        <v>41</v>
      </c>
      <c r="P41" s="41" t="s">
        <v>41</v>
      </c>
      <c r="Q41" s="42" t="s">
        <v>41</v>
      </c>
      <c r="R41" s="64"/>
      <c r="S41" s="68" t="s">
        <v>41</v>
      </c>
    </row>
    <row r="42" spans="1:19" s="43" customFormat="1" ht="33.75" hidden="1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1:19" ht="46.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24.75" customHeight="1" x14ac:dyDescent="0.2">
      <c r="A44" s="425" t="s">
        <v>51</v>
      </c>
      <c r="B44" s="426"/>
      <c r="C44" s="426"/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7"/>
    </row>
    <row r="45" spans="1:19" ht="60.75" customHeight="1" x14ac:dyDescent="0.2">
      <c r="A45" s="14" t="s">
        <v>71</v>
      </c>
      <c r="B45" s="59" t="s">
        <v>10</v>
      </c>
      <c r="C45" s="129">
        <v>1717</v>
      </c>
      <c r="D45" s="73"/>
      <c r="E45" s="129"/>
      <c r="F45" s="340" t="s">
        <v>74</v>
      </c>
      <c r="G45" s="334"/>
      <c r="H45" s="73" t="s">
        <v>75</v>
      </c>
      <c r="I45" s="341"/>
      <c r="J45" s="342"/>
      <c r="K45" s="98"/>
      <c r="L45" s="355"/>
      <c r="M45" s="356"/>
      <c r="N45" s="3">
        <v>0</v>
      </c>
      <c r="O45" s="3">
        <v>12000</v>
      </c>
      <c r="P45" s="3">
        <v>0</v>
      </c>
      <c r="Q45" s="355">
        <v>0</v>
      </c>
      <c r="R45" s="356"/>
      <c r="S45" s="3">
        <f>O45</f>
        <v>12000</v>
      </c>
    </row>
    <row r="46" spans="1:19" ht="63.75" customHeight="1" x14ac:dyDescent="0.2">
      <c r="A46" s="14">
        <v>2</v>
      </c>
      <c r="B46" s="59" t="s">
        <v>55</v>
      </c>
      <c r="C46" s="129">
        <v>1206</v>
      </c>
      <c r="D46" s="73"/>
      <c r="E46" s="129"/>
      <c r="F46" s="340" t="s">
        <v>86</v>
      </c>
      <c r="G46" s="334"/>
      <c r="H46" s="73" t="s">
        <v>13</v>
      </c>
      <c r="I46" s="341"/>
      <c r="J46" s="342"/>
      <c r="K46" s="61"/>
      <c r="L46" s="355"/>
      <c r="M46" s="356"/>
      <c r="N46" s="3">
        <v>0</v>
      </c>
      <c r="O46" s="3">
        <v>12000</v>
      </c>
      <c r="P46" s="3">
        <f>0</f>
        <v>0</v>
      </c>
      <c r="Q46" s="355">
        <f>0</f>
        <v>0</v>
      </c>
      <c r="R46" s="356"/>
      <c r="S46" s="3">
        <v>11000</v>
      </c>
    </row>
    <row r="47" spans="1:19" ht="62.25" customHeight="1" x14ac:dyDescent="0.2">
      <c r="A47" s="14">
        <v>3</v>
      </c>
      <c r="B47" s="54" t="s">
        <v>83</v>
      </c>
      <c r="C47" s="129">
        <v>514</v>
      </c>
      <c r="D47" s="73"/>
      <c r="E47" s="129"/>
      <c r="F47" s="340" t="s">
        <v>13</v>
      </c>
      <c r="G47" s="334"/>
      <c r="H47" s="73" t="s">
        <v>9</v>
      </c>
      <c r="I47" s="341"/>
      <c r="J47" s="342"/>
      <c r="K47" s="61"/>
      <c r="L47" s="355"/>
      <c r="M47" s="356"/>
      <c r="N47" s="3">
        <v>0</v>
      </c>
      <c r="O47" s="3">
        <f>S47</f>
        <v>8000</v>
      </c>
      <c r="P47" s="3">
        <f>0</f>
        <v>0</v>
      </c>
      <c r="Q47" s="355">
        <f>0</f>
        <v>0</v>
      </c>
      <c r="R47" s="356"/>
      <c r="S47" s="3">
        <v>8000</v>
      </c>
    </row>
    <row r="48" spans="1:19" ht="60.75" customHeight="1" x14ac:dyDescent="0.2">
      <c r="A48" s="14">
        <v>4</v>
      </c>
      <c r="B48" s="59" t="s">
        <v>93</v>
      </c>
      <c r="C48" s="16">
        <v>365</v>
      </c>
      <c r="D48" s="73"/>
      <c r="E48" s="129"/>
      <c r="F48" s="340" t="s">
        <v>12</v>
      </c>
      <c r="G48" s="334"/>
      <c r="H48" s="73" t="s">
        <v>7</v>
      </c>
      <c r="I48" s="341"/>
      <c r="J48" s="342"/>
      <c r="K48" s="61"/>
      <c r="L48" s="462"/>
      <c r="M48" s="462"/>
      <c r="N48" s="3">
        <v>0</v>
      </c>
      <c r="O48" s="3">
        <f>S48</f>
        <v>8000</v>
      </c>
      <c r="P48" s="3">
        <f>0</f>
        <v>0</v>
      </c>
      <c r="Q48" s="355">
        <f>0</f>
        <v>0</v>
      </c>
      <c r="R48" s="356"/>
      <c r="S48" s="3">
        <v>8000</v>
      </c>
    </row>
    <row r="49" spans="1:21" ht="60.75" customHeight="1" x14ac:dyDescent="0.2">
      <c r="A49" s="14">
        <v>5</v>
      </c>
      <c r="B49" s="59" t="s">
        <v>57</v>
      </c>
      <c r="C49" s="129">
        <v>697</v>
      </c>
      <c r="D49" s="73"/>
      <c r="E49" s="129"/>
      <c r="F49" s="340" t="s">
        <v>12</v>
      </c>
      <c r="G49" s="334"/>
      <c r="H49" s="73" t="s">
        <v>7</v>
      </c>
      <c r="I49" s="341"/>
      <c r="J49" s="342"/>
      <c r="K49" s="61"/>
      <c r="L49" s="355"/>
      <c r="M49" s="356"/>
      <c r="N49" s="3">
        <v>0</v>
      </c>
      <c r="O49" s="3">
        <f>S49</f>
        <v>10000</v>
      </c>
      <c r="P49" s="3">
        <f>0</f>
        <v>0</v>
      </c>
      <c r="Q49" s="355">
        <f>0</f>
        <v>0</v>
      </c>
      <c r="R49" s="356"/>
      <c r="S49" s="3">
        <v>10000</v>
      </c>
    </row>
    <row r="50" spans="1:21" ht="60.75" customHeight="1" x14ac:dyDescent="0.2">
      <c r="A50" s="14">
        <v>6</v>
      </c>
      <c r="B50" s="55" t="s">
        <v>79</v>
      </c>
      <c r="C50" s="129">
        <v>767</v>
      </c>
      <c r="D50" s="73"/>
      <c r="E50" s="129"/>
      <c r="F50" s="340" t="s">
        <v>74</v>
      </c>
      <c r="G50" s="334"/>
      <c r="H50" s="73" t="s">
        <v>75</v>
      </c>
      <c r="I50" s="61"/>
      <c r="J50" s="61"/>
      <c r="K50" s="61"/>
      <c r="L50" s="3"/>
      <c r="M50" s="3"/>
      <c r="N50" s="3">
        <v>0</v>
      </c>
      <c r="O50" s="3">
        <f>S50</f>
        <v>10499.99</v>
      </c>
      <c r="P50" s="3">
        <f>0</f>
        <v>0</v>
      </c>
      <c r="Q50" s="355">
        <f>0</f>
        <v>0</v>
      </c>
      <c r="R50" s="356"/>
      <c r="S50" s="3">
        <v>10499.99</v>
      </c>
    </row>
    <row r="51" spans="1:21" ht="60.75" customHeight="1" x14ac:dyDescent="0.2">
      <c r="A51" s="14">
        <v>7</v>
      </c>
      <c r="B51" s="56" t="s">
        <v>78</v>
      </c>
      <c r="C51" s="129">
        <v>610</v>
      </c>
      <c r="D51" s="73"/>
      <c r="E51" s="129"/>
      <c r="F51" s="340" t="s">
        <v>74</v>
      </c>
      <c r="G51" s="334"/>
      <c r="H51" s="73" t="s">
        <v>75</v>
      </c>
      <c r="I51" s="61"/>
      <c r="J51" s="61"/>
      <c r="K51" s="61"/>
      <c r="L51" s="3"/>
      <c r="M51" s="3"/>
      <c r="N51" s="3">
        <v>0</v>
      </c>
      <c r="O51" s="3">
        <f>S51</f>
        <v>10000</v>
      </c>
      <c r="P51" s="3">
        <f>0</f>
        <v>0</v>
      </c>
      <c r="Q51" s="355">
        <f>0</f>
        <v>0</v>
      </c>
      <c r="R51" s="356"/>
      <c r="S51" s="3">
        <v>10000</v>
      </c>
    </row>
    <row r="52" spans="1:21" ht="60.75" customHeight="1" x14ac:dyDescent="0.2">
      <c r="A52" s="14">
        <v>8</v>
      </c>
      <c r="B52" s="55" t="s">
        <v>58</v>
      </c>
      <c r="C52" s="129">
        <v>601</v>
      </c>
      <c r="D52" s="73"/>
      <c r="E52" s="129"/>
      <c r="F52" s="340" t="s">
        <v>74</v>
      </c>
      <c r="G52" s="334"/>
      <c r="H52" s="73" t="s">
        <v>75</v>
      </c>
      <c r="I52" s="61"/>
      <c r="J52" s="61"/>
      <c r="K52" s="61"/>
      <c r="L52" s="3"/>
      <c r="M52" s="3"/>
      <c r="N52" s="3">
        <v>0</v>
      </c>
      <c r="O52" s="3">
        <v>10000</v>
      </c>
      <c r="P52" s="3">
        <f>0</f>
        <v>0</v>
      </c>
      <c r="Q52" s="355">
        <f>0</f>
        <v>0</v>
      </c>
      <c r="R52" s="356"/>
      <c r="S52" s="3">
        <v>9000</v>
      </c>
    </row>
    <row r="53" spans="1:21" ht="49.5" customHeight="1" x14ac:dyDescent="0.2">
      <c r="A53" s="14">
        <v>9</v>
      </c>
      <c r="B53" s="119" t="s">
        <v>38</v>
      </c>
      <c r="C53" s="130">
        <v>1329</v>
      </c>
      <c r="D53" s="404"/>
      <c r="E53" s="405"/>
      <c r="F53" s="73"/>
      <c r="G53" s="359"/>
      <c r="H53" s="360"/>
      <c r="I53" s="355"/>
      <c r="J53" s="356"/>
      <c r="K53" s="93">
        <v>0.9</v>
      </c>
      <c r="L53" s="93"/>
      <c r="M53" s="363">
        <v>0</v>
      </c>
      <c r="N53" s="364"/>
      <c r="O53" s="118">
        <f>1889.55</f>
        <v>1889.55</v>
      </c>
      <c r="P53" s="242">
        <f>O53</f>
        <v>1889.55</v>
      </c>
      <c r="Q53" s="363">
        <v>0</v>
      </c>
      <c r="R53" s="364"/>
      <c r="S53" s="3">
        <v>1889.55</v>
      </c>
    </row>
    <row r="54" spans="1:21" ht="58.5" customHeight="1" x14ac:dyDescent="0.2">
      <c r="A54" s="14">
        <v>10</v>
      </c>
      <c r="B54" s="55" t="s">
        <v>80</v>
      </c>
      <c r="C54" s="129">
        <v>775</v>
      </c>
      <c r="D54" s="73"/>
      <c r="E54" s="129"/>
      <c r="F54" s="340" t="s">
        <v>8</v>
      </c>
      <c r="G54" s="334"/>
      <c r="H54" s="73" t="s">
        <v>12</v>
      </c>
      <c r="I54" s="61"/>
      <c r="J54" s="61"/>
      <c r="K54" s="61"/>
      <c r="L54" s="3"/>
      <c r="M54" s="3"/>
      <c r="N54" s="3">
        <v>0</v>
      </c>
      <c r="O54" s="3">
        <v>120000</v>
      </c>
      <c r="P54" s="3">
        <v>0</v>
      </c>
      <c r="Q54" s="355">
        <v>0</v>
      </c>
      <c r="R54" s="356"/>
      <c r="S54" s="3">
        <f>7000+2327.06</f>
        <v>9327.06</v>
      </c>
    </row>
    <row r="55" spans="1:21" ht="58.5" customHeight="1" x14ac:dyDescent="0.2">
      <c r="A55" s="14">
        <v>11</v>
      </c>
      <c r="B55" s="55" t="s">
        <v>107</v>
      </c>
      <c r="C55" s="129">
        <v>431</v>
      </c>
      <c r="D55" s="73"/>
      <c r="E55" s="129"/>
      <c r="F55" s="340" t="s">
        <v>13</v>
      </c>
      <c r="G55" s="334"/>
      <c r="H55" s="73" t="s">
        <v>47</v>
      </c>
      <c r="I55" s="61"/>
      <c r="J55" s="61"/>
      <c r="K55" s="61"/>
      <c r="L55" s="3"/>
      <c r="M55" s="3"/>
      <c r="N55" s="3">
        <v>0</v>
      </c>
      <c r="O55" s="3">
        <v>10000</v>
      </c>
      <c r="P55" s="3">
        <v>0</v>
      </c>
      <c r="Q55" s="355">
        <v>0</v>
      </c>
      <c r="R55" s="356"/>
      <c r="S55" s="3">
        <v>8500</v>
      </c>
    </row>
    <row r="56" spans="1:21" ht="58.5" customHeight="1" x14ac:dyDescent="0.2">
      <c r="A56" s="14">
        <v>12</v>
      </c>
      <c r="B56" s="55" t="s">
        <v>108</v>
      </c>
      <c r="C56" s="129">
        <v>932.55</v>
      </c>
      <c r="D56" s="73"/>
      <c r="E56" s="129"/>
      <c r="F56" s="340" t="s">
        <v>13</v>
      </c>
      <c r="G56" s="334"/>
      <c r="H56" s="73" t="s">
        <v>47</v>
      </c>
      <c r="I56" s="61"/>
      <c r="J56" s="61"/>
      <c r="K56" s="61"/>
      <c r="L56" s="3"/>
      <c r="M56" s="3"/>
      <c r="N56" s="3">
        <v>0</v>
      </c>
      <c r="O56" s="3">
        <v>14000</v>
      </c>
      <c r="P56" s="3">
        <v>0</v>
      </c>
      <c r="Q56" s="355">
        <v>0</v>
      </c>
      <c r="R56" s="356"/>
      <c r="S56" s="3">
        <v>11000</v>
      </c>
    </row>
    <row r="57" spans="1:21" ht="58.5" hidden="1" customHeight="1" x14ac:dyDescent="0.2">
      <c r="A57" s="14">
        <v>13</v>
      </c>
      <c r="B57" s="55" t="s">
        <v>109</v>
      </c>
      <c r="C57" s="129">
        <v>924</v>
      </c>
      <c r="D57" s="73"/>
      <c r="E57" s="129"/>
      <c r="F57" s="340" t="s">
        <v>13</v>
      </c>
      <c r="G57" s="334"/>
      <c r="H57" s="73" t="s">
        <v>47</v>
      </c>
      <c r="I57" s="61"/>
      <c r="J57" s="61"/>
      <c r="K57" s="61"/>
      <c r="L57" s="61"/>
      <c r="M57" s="61"/>
      <c r="N57" s="62"/>
      <c r="O57" s="62"/>
      <c r="P57" s="62"/>
      <c r="Q57" s="343"/>
      <c r="R57" s="344"/>
      <c r="S57" s="62"/>
    </row>
    <row r="58" spans="1:21" ht="58.5" hidden="1" customHeight="1" x14ac:dyDescent="0.2">
      <c r="A58" s="14">
        <v>14</v>
      </c>
      <c r="B58" s="55" t="s">
        <v>110</v>
      </c>
      <c r="C58" s="129">
        <v>730</v>
      </c>
      <c r="D58" s="73"/>
      <c r="E58" s="129"/>
      <c r="F58" s="340" t="s">
        <v>13</v>
      </c>
      <c r="G58" s="334"/>
      <c r="H58" s="73" t="s">
        <v>47</v>
      </c>
      <c r="I58" s="61"/>
      <c r="J58" s="61"/>
      <c r="K58" s="61"/>
      <c r="L58" s="61"/>
      <c r="M58" s="61"/>
      <c r="N58" s="62"/>
      <c r="O58" s="62"/>
      <c r="P58" s="62"/>
      <c r="Q58" s="343"/>
      <c r="R58" s="344"/>
      <c r="S58" s="62"/>
    </row>
    <row r="59" spans="1:21" ht="58.5" hidden="1" customHeight="1" x14ac:dyDescent="0.2">
      <c r="A59" s="14">
        <v>15</v>
      </c>
      <c r="B59" s="55" t="s">
        <v>112</v>
      </c>
      <c r="C59" s="129">
        <v>329</v>
      </c>
      <c r="D59" s="73"/>
      <c r="E59" s="129"/>
      <c r="F59" s="340" t="s">
        <v>13</v>
      </c>
      <c r="G59" s="334"/>
      <c r="H59" s="73" t="s">
        <v>47</v>
      </c>
      <c r="I59" s="61"/>
      <c r="J59" s="61"/>
      <c r="K59" s="61"/>
      <c r="L59" s="61"/>
      <c r="M59" s="61"/>
      <c r="N59" s="62"/>
      <c r="O59" s="62"/>
      <c r="P59" s="62"/>
      <c r="Q59" s="343"/>
      <c r="R59" s="344"/>
      <c r="S59" s="62"/>
    </row>
    <row r="60" spans="1:21" ht="58.5" hidden="1" customHeight="1" x14ac:dyDescent="0.2">
      <c r="A60" s="14">
        <v>16</v>
      </c>
      <c r="B60" s="55" t="s">
        <v>113</v>
      </c>
      <c r="C60" s="129">
        <v>554</v>
      </c>
      <c r="D60" s="73"/>
      <c r="E60" s="129"/>
      <c r="F60" s="340" t="s">
        <v>13</v>
      </c>
      <c r="G60" s="334"/>
      <c r="H60" s="73" t="s">
        <v>47</v>
      </c>
      <c r="I60" s="61"/>
      <c r="J60" s="61"/>
      <c r="K60" s="61"/>
      <c r="L60" s="61"/>
      <c r="M60" s="61"/>
      <c r="N60" s="62"/>
      <c r="O60" s="62"/>
      <c r="P60" s="62"/>
      <c r="Q60" s="343"/>
      <c r="R60" s="344"/>
      <c r="S60" s="62"/>
    </row>
    <row r="61" spans="1:21" ht="34.5" customHeight="1" x14ac:dyDescent="0.2">
      <c r="A61" s="4"/>
      <c r="B61" s="162" t="s">
        <v>105</v>
      </c>
      <c r="C61" s="161">
        <f>SUM(C45:C60)</f>
        <v>12481.55</v>
      </c>
      <c r="D61" s="162"/>
      <c r="E61" s="161"/>
      <c r="F61" s="162"/>
      <c r="G61" s="162"/>
      <c r="H61" s="162"/>
      <c r="I61" s="162"/>
      <c r="J61" s="162"/>
      <c r="K61" s="162"/>
      <c r="L61" s="162"/>
      <c r="M61" s="162"/>
      <c r="N61" s="22">
        <f>SUM(N45:N54)</f>
        <v>0</v>
      </c>
      <c r="O61" s="22">
        <f>SUM(O45:O54)</f>
        <v>202389.53999999998</v>
      </c>
      <c r="P61" s="22">
        <f>SUM(P45:P54)</f>
        <v>1889.55</v>
      </c>
      <c r="Q61" s="376">
        <f>SUM(Q45:R54)</f>
        <v>0</v>
      </c>
      <c r="R61" s="377"/>
      <c r="S61" s="22">
        <f>SUM(S45:S58)+S59+S60</f>
        <v>109216.59999999999</v>
      </c>
    </row>
    <row r="62" spans="1:21" ht="32.25" customHeight="1" x14ac:dyDescent="0.2">
      <c r="A62" s="449" t="s">
        <v>29</v>
      </c>
      <c r="B62" s="450"/>
      <c r="C62" s="450"/>
      <c r="D62" s="450"/>
      <c r="E62" s="450"/>
      <c r="F62" s="450"/>
      <c r="G62" s="450"/>
      <c r="H62" s="450"/>
      <c r="I62" s="450"/>
      <c r="J62" s="450"/>
      <c r="K62" s="450"/>
      <c r="L62" s="450"/>
      <c r="M62" s="450"/>
      <c r="N62" s="450"/>
      <c r="O62" s="450"/>
      <c r="P62" s="450"/>
      <c r="Q62" s="450"/>
      <c r="R62" s="450"/>
      <c r="S62" s="451"/>
    </row>
    <row r="63" spans="1:21" ht="45" customHeight="1" x14ac:dyDescent="0.3">
      <c r="A63" s="4"/>
      <c r="B63" s="239" t="s">
        <v>114</v>
      </c>
      <c r="C63" s="407"/>
      <c r="D63" s="408"/>
      <c r="E63" s="5"/>
      <c r="F63" s="407"/>
      <c r="G63" s="408"/>
      <c r="H63" s="4"/>
      <c r="I63" s="433">
        <f>I32+I38</f>
        <v>1510797.1600000001</v>
      </c>
      <c r="J63" s="434"/>
      <c r="K63" s="3"/>
      <c r="L63" s="433">
        <f>L32+L38</f>
        <v>1338600.4200000002</v>
      </c>
      <c r="M63" s="434"/>
      <c r="N63" s="37">
        <f>N32+M38+N61</f>
        <v>384481.35</v>
      </c>
      <c r="O63" s="37">
        <f>O32+O38+O61</f>
        <v>1139522.3999999999</v>
      </c>
      <c r="P63" s="37">
        <f>P32+P61</f>
        <v>80120.44</v>
      </c>
      <c r="Q63" s="433">
        <f>Q32</f>
        <v>400000</v>
      </c>
      <c r="R63" s="434"/>
      <c r="S63" s="37">
        <f>S26+S38+S61</f>
        <v>646349.46</v>
      </c>
      <c r="U63" s="192">
        <f>S63-S64</f>
        <v>388051.79999999993</v>
      </c>
    </row>
    <row r="64" spans="1:21" ht="38.25" customHeight="1" x14ac:dyDescent="0.2">
      <c r="A64" s="105"/>
      <c r="B64" s="59" t="s">
        <v>120</v>
      </c>
      <c r="C64" s="107"/>
      <c r="D64" s="108"/>
      <c r="E64" s="106"/>
      <c r="F64" s="107"/>
      <c r="G64" s="108"/>
      <c r="H64" s="105"/>
      <c r="I64" s="202"/>
      <c r="J64" s="203"/>
      <c r="K64" s="54"/>
      <c r="L64" s="204"/>
      <c r="M64" s="113"/>
      <c r="N64" s="140"/>
      <c r="O64" s="115"/>
      <c r="P64" s="116"/>
      <c r="Q64" s="346"/>
      <c r="R64" s="346"/>
      <c r="S64" s="3">
        <v>258297.66</v>
      </c>
    </row>
    <row r="66" spans="2:20" ht="25.5" x14ac:dyDescent="0.35">
      <c r="B66" s="231" t="s">
        <v>100</v>
      </c>
      <c r="C66" s="231"/>
      <c r="D66" s="231"/>
      <c r="E66" s="231"/>
      <c r="F66" s="231"/>
      <c r="G66" s="231"/>
      <c r="H66" s="231" t="s">
        <v>95</v>
      </c>
      <c r="I66" s="231"/>
      <c r="J66" s="147"/>
      <c r="K66" s="147"/>
      <c r="L66" s="147"/>
      <c r="M66" s="148"/>
      <c r="N66" s="148"/>
      <c r="P66" s="23"/>
      <c r="Q66" s="23"/>
      <c r="S66" s="21"/>
    </row>
    <row r="67" spans="2:20" x14ac:dyDescent="0.2">
      <c r="B67" s="233"/>
      <c r="C67" s="233"/>
      <c r="D67" s="233"/>
      <c r="E67" s="233"/>
      <c r="F67" s="233"/>
      <c r="G67" s="233"/>
      <c r="H67" s="233"/>
      <c r="I67" s="233"/>
      <c r="J67" s="148"/>
      <c r="K67" s="148"/>
      <c r="L67" s="148"/>
      <c r="M67" s="148"/>
      <c r="N67" s="148"/>
    </row>
    <row r="68" spans="2:20" ht="20.25" x14ac:dyDescent="0.3">
      <c r="B68" s="233"/>
      <c r="C68" s="233"/>
      <c r="D68" s="233"/>
      <c r="E68" s="233"/>
      <c r="F68" s="233"/>
      <c r="G68" s="233"/>
      <c r="H68" s="233"/>
      <c r="I68" s="233"/>
      <c r="J68" s="148"/>
      <c r="K68" s="148"/>
      <c r="L68" s="148"/>
      <c r="M68" s="148"/>
      <c r="N68" s="148"/>
      <c r="S68" s="241"/>
      <c r="T68" s="240">
        <v>258</v>
      </c>
    </row>
    <row r="69" spans="2:20" ht="20.25" x14ac:dyDescent="0.3">
      <c r="B69" s="231" t="s">
        <v>96</v>
      </c>
      <c r="C69" s="231"/>
      <c r="D69" s="231"/>
      <c r="E69" s="231"/>
      <c r="F69" s="231"/>
      <c r="G69" s="231"/>
      <c r="H69" s="231" t="s">
        <v>45</v>
      </c>
      <c r="I69" s="231"/>
      <c r="J69" s="147"/>
      <c r="K69" s="147"/>
      <c r="L69" s="147"/>
      <c r="M69" s="147"/>
      <c r="N69" s="147"/>
      <c r="S69" s="23"/>
      <c r="T69" s="240">
        <v>388</v>
      </c>
    </row>
    <row r="70" spans="2:20" ht="20.25" x14ac:dyDescent="0.3">
      <c r="B70" s="233"/>
      <c r="C70" s="233"/>
      <c r="D70" s="233"/>
      <c r="E70" s="233"/>
      <c r="F70" s="233"/>
      <c r="G70" s="233"/>
      <c r="H70" s="233"/>
      <c r="I70" s="233"/>
      <c r="J70" s="148"/>
      <c r="K70" s="148"/>
      <c r="L70" s="148"/>
      <c r="M70" s="148"/>
      <c r="N70" s="148"/>
      <c r="T70" s="240">
        <f ca="1">SUM(T68:T70)</f>
        <v>3618246</v>
      </c>
    </row>
    <row r="71" spans="2:20" x14ac:dyDescent="0.2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2:20" ht="22.5" customHeight="1" x14ac:dyDescent="0.2"/>
  </sheetData>
  <mergeCells count="142">
    <mergeCell ref="Q64:R64"/>
    <mergeCell ref="Q61:R61"/>
    <mergeCell ref="A62:S62"/>
    <mergeCell ref="C63:D63"/>
    <mergeCell ref="F63:G63"/>
    <mergeCell ref="I63:J63"/>
    <mergeCell ref="L63:M63"/>
    <mergeCell ref="Q63:R63"/>
    <mergeCell ref="F58:G58"/>
    <mergeCell ref="Q58:R58"/>
    <mergeCell ref="F59:G59"/>
    <mergeCell ref="Q59:R59"/>
    <mergeCell ref="F60:G60"/>
    <mergeCell ref="Q60:R60"/>
    <mergeCell ref="F55:G55"/>
    <mergeCell ref="Q55:R55"/>
    <mergeCell ref="F56:G56"/>
    <mergeCell ref="Q56:R56"/>
    <mergeCell ref="F57:G57"/>
    <mergeCell ref="Q57:R57"/>
    <mergeCell ref="D53:E53"/>
    <mergeCell ref="G53:H53"/>
    <mergeCell ref="I53:J53"/>
    <mergeCell ref="M53:N53"/>
    <mergeCell ref="Q53:R53"/>
    <mergeCell ref="F54:G54"/>
    <mergeCell ref="Q54:R54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46:G46"/>
    <mergeCell ref="I46:J46"/>
    <mergeCell ref="L46:M46"/>
    <mergeCell ref="Q46:R46"/>
    <mergeCell ref="F47:G47"/>
    <mergeCell ref="I47:J47"/>
    <mergeCell ref="L47:M47"/>
    <mergeCell ref="Q47:R47"/>
    <mergeCell ref="A40:S40"/>
    <mergeCell ref="A44:S44"/>
    <mergeCell ref="F45:G45"/>
    <mergeCell ref="I45:J45"/>
    <mergeCell ref="L45:M45"/>
    <mergeCell ref="Q45:R45"/>
    <mergeCell ref="I37:J37"/>
    <mergeCell ref="M37:N37"/>
    <mergeCell ref="Q37:R37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</mergeCells>
  <pageMargins left="0" right="0" top="0" bottom="0" header="0" footer="0"/>
  <pageSetup paperSize="9"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BZ72"/>
  <sheetViews>
    <sheetView topLeftCell="A11" zoomScale="69" zoomScaleNormal="69" zoomScalePageLayoutView="60" workbookViewId="0">
      <selection activeCell="L20" sqref="L20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2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115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0" t="s">
        <v>59</v>
      </c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0"/>
    </row>
    <row r="8" spans="1:16302" ht="11.25" customHeight="1" x14ac:dyDescent="0.2">
      <c r="A8" s="10"/>
    </row>
    <row r="9" spans="1:16302" ht="43.5" customHeight="1" x14ac:dyDescent="0.2">
      <c r="A9" s="392" t="s">
        <v>4</v>
      </c>
      <c r="B9" s="411" t="s">
        <v>14</v>
      </c>
      <c r="C9" s="414" t="s">
        <v>15</v>
      </c>
      <c r="D9" s="411" t="s">
        <v>16</v>
      </c>
      <c r="E9" s="417"/>
      <c r="F9" s="411" t="s">
        <v>17</v>
      </c>
      <c r="G9" s="420"/>
      <c r="H9" s="417"/>
      <c r="I9" s="341" t="s">
        <v>18</v>
      </c>
      <c r="J9" s="422"/>
      <c r="K9" s="422"/>
      <c r="L9" s="342"/>
      <c r="M9" s="411" t="s">
        <v>65</v>
      </c>
      <c r="N9" s="417"/>
      <c r="O9" s="341" t="s">
        <v>68</v>
      </c>
      <c r="P9" s="422"/>
      <c r="Q9" s="422"/>
      <c r="R9" s="422"/>
      <c r="S9" s="342"/>
    </row>
    <row r="10" spans="1:16302" ht="18.75" customHeight="1" x14ac:dyDescent="0.2">
      <c r="A10" s="393"/>
      <c r="B10" s="412"/>
      <c r="C10" s="415"/>
      <c r="D10" s="412"/>
      <c r="E10" s="418"/>
      <c r="F10" s="413"/>
      <c r="G10" s="421"/>
      <c r="H10" s="419"/>
      <c r="I10" s="341" t="s">
        <v>77</v>
      </c>
      <c r="J10" s="422"/>
      <c r="K10" s="422"/>
      <c r="L10" s="342"/>
      <c r="M10" s="412"/>
      <c r="N10" s="418"/>
      <c r="O10" s="428" t="s">
        <v>19</v>
      </c>
      <c r="P10" s="422"/>
      <c r="Q10" s="422"/>
      <c r="R10" s="422"/>
      <c r="S10" s="342"/>
    </row>
    <row r="11" spans="1:16302" ht="18.75" customHeight="1" x14ac:dyDescent="0.2">
      <c r="A11" s="393"/>
      <c r="B11" s="412"/>
      <c r="C11" s="415"/>
      <c r="D11" s="412"/>
      <c r="E11" s="418"/>
      <c r="F11" s="61" t="s">
        <v>20</v>
      </c>
      <c r="G11" s="341" t="s">
        <v>21</v>
      </c>
      <c r="H11" s="342"/>
      <c r="I11" s="411" t="s">
        <v>22</v>
      </c>
      <c r="J11" s="417"/>
      <c r="K11" s="61"/>
      <c r="L11" s="414" t="s">
        <v>23</v>
      </c>
      <c r="M11" s="412"/>
      <c r="N11" s="418"/>
      <c r="O11" s="429"/>
      <c r="P11" s="417" t="s">
        <v>66</v>
      </c>
      <c r="Q11" s="411" t="s">
        <v>67</v>
      </c>
      <c r="R11" s="420"/>
      <c r="S11" s="417"/>
    </row>
    <row r="12" spans="1:16302" ht="18.75" customHeight="1" x14ac:dyDescent="0.2">
      <c r="A12" s="393"/>
      <c r="B12" s="412"/>
      <c r="C12" s="415"/>
      <c r="D12" s="412"/>
      <c r="E12" s="418"/>
      <c r="F12" s="61" t="s">
        <v>69</v>
      </c>
      <c r="G12" s="341" t="s">
        <v>69</v>
      </c>
      <c r="H12" s="342"/>
      <c r="I12" s="412"/>
      <c r="J12" s="418"/>
      <c r="K12" s="61"/>
      <c r="L12" s="415"/>
      <c r="M12" s="412"/>
      <c r="N12" s="418"/>
      <c r="O12" s="429"/>
      <c r="P12" s="418"/>
      <c r="Q12" s="413"/>
      <c r="R12" s="421"/>
      <c r="S12" s="419"/>
    </row>
    <row r="13" spans="1:16302" ht="117" customHeight="1" x14ac:dyDescent="0.2">
      <c r="A13" s="394"/>
      <c r="B13" s="413"/>
      <c r="C13" s="416"/>
      <c r="D13" s="413"/>
      <c r="E13" s="419"/>
      <c r="F13" s="61" t="s">
        <v>63</v>
      </c>
      <c r="G13" s="341" t="s">
        <v>64</v>
      </c>
      <c r="H13" s="342"/>
      <c r="I13" s="413"/>
      <c r="J13" s="419"/>
      <c r="K13" s="61"/>
      <c r="L13" s="416"/>
      <c r="M13" s="413"/>
      <c r="N13" s="419"/>
      <c r="O13" s="430"/>
      <c r="P13" s="419"/>
      <c r="Q13" s="341" t="s">
        <v>24</v>
      </c>
      <c r="R13" s="342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23">
        <v>4</v>
      </c>
      <c r="E14" s="424"/>
      <c r="F14" s="141">
        <v>5</v>
      </c>
      <c r="G14" s="423">
        <v>6</v>
      </c>
      <c r="H14" s="424"/>
      <c r="I14" s="423">
        <v>7</v>
      </c>
      <c r="J14" s="424"/>
      <c r="K14" s="141"/>
      <c r="L14" s="141">
        <v>8</v>
      </c>
      <c r="M14" s="423">
        <v>9</v>
      </c>
      <c r="N14" s="424"/>
      <c r="O14" s="166">
        <v>10</v>
      </c>
      <c r="P14" s="167">
        <v>11</v>
      </c>
      <c r="Q14" s="423">
        <v>12</v>
      </c>
      <c r="R14" s="424"/>
      <c r="S14" s="146">
        <v>13</v>
      </c>
    </row>
    <row r="15" spans="1:16302" ht="23.25" customHeight="1" x14ac:dyDescent="0.2">
      <c r="A15" s="425" t="s">
        <v>26</v>
      </c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7"/>
    </row>
    <row r="16" spans="1:16302" ht="65.25" customHeight="1" x14ac:dyDescent="0.3">
      <c r="A16" s="14">
        <v>1</v>
      </c>
      <c r="B16" s="15" t="s">
        <v>48</v>
      </c>
      <c r="C16" s="3">
        <v>567</v>
      </c>
      <c r="D16" s="355">
        <v>567</v>
      </c>
      <c r="E16" s="356"/>
      <c r="F16" s="40" t="s">
        <v>76</v>
      </c>
      <c r="G16" s="40"/>
      <c r="H16" s="40" t="s">
        <v>75</v>
      </c>
      <c r="I16" s="355">
        <v>75245</v>
      </c>
      <c r="J16" s="356"/>
      <c r="K16" s="87">
        <v>0.9</v>
      </c>
      <c r="L16" s="3">
        <f t="shared" ref="L16:L21" si="0">M16+O16</f>
        <v>69955.08</v>
      </c>
      <c r="M16" s="355">
        <v>63452.68</v>
      </c>
      <c r="N16" s="356"/>
      <c r="O16" s="40">
        <f>Q16+S16</f>
        <v>6502.4</v>
      </c>
      <c r="P16" s="97">
        <f>0</f>
        <v>0</v>
      </c>
      <c r="Q16" s="355">
        <f>0</f>
        <v>0</v>
      </c>
      <c r="R16" s="356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3">
        <v>377</v>
      </c>
      <c r="D17" s="355">
        <v>377</v>
      </c>
      <c r="E17" s="356"/>
      <c r="F17" s="40" t="s">
        <v>76</v>
      </c>
      <c r="G17" s="330" t="s">
        <v>11</v>
      </c>
      <c r="H17" s="331"/>
      <c r="I17" s="355">
        <v>106395</v>
      </c>
      <c r="J17" s="356"/>
      <c r="K17" s="88">
        <v>0.9</v>
      </c>
      <c r="L17" s="3">
        <f t="shared" si="0"/>
        <v>96255.54</v>
      </c>
      <c r="M17" s="355">
        <v>3576.03</v>
      </c>
      <c r="N17" s="356"/>
      <c r="O17" s="40">
        <f>Q17+S17</f>
        <v>92679.51</v>
      </c>
      <c r="P17" s="97">
        <f>0</f>
        <v>0</v>
      </c>
      <c r="Q17" s="355">
        <v>72000</v>
      </c>
      <c r="R17" s="356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3">
        <v>502</v>
      </c>
      <c r="D18" s="355">
        <v>502</v>
      </c>
      <c r="E18" s="356"/>
      <c r="F18" s="40" t="s">
        <v>76</v>
      </c>
      <c r="G18" s="330" t="s">
        <v>11</v>
      </c>
      <c r="H18" s="331"/>
      <c r="I18" s="355">
        <v>99451</v>
      </c>
      <c r="J18" s="356"/>
      <c r="K18" s="88">
        <v>0.9</v>
      </c>
      <c r="L18" s="3">
        <f t="shared" si="0"/>
        <v>92937.2</v>
      </c>
      <c r="M18" s="355">
        <v>20602.2</v>
      </c>
      <c r="N18" s="356"/>
      <c r="O18" s="40">
        <f>Q18+S18</f>
        <v>72335</v>
      </c>
      <c r="P18" s="97">
        <f>0</f>
        <v>0</v>
      </c>
      <c r="Q18" s="355">
        <v>43335</v>
      </c>
      <c r="R18" s="356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3">
        <v>1064</v>
      </c>
      <c r="D19" s="355">
        <v>1064</v>
      </c>
      <c r="E19" s="356"/>
      <c r="F19" s="40" t="s">
        <v>76</v>
      </c>
      <c r="G19" s="330" t="s">
        <v>12</v>
      </c>
      <c r="H19" s="331"/>
      <c r="I19" s="355">
        <v>114278</v>
      </c>
      <c r="J19" s="356"/>
      <c r="K19" s="88">
        <v>0.9</v>
      </c>
      <c r="L19" s="3">
        <f t="shared" si="0"/>
        <v>90793.62</v>
      </c>
      <c r="M19" s="355">
        <v>39655.74</v>
      </c>
      <c r="N19" s="356"/>
      <c r="O19" s="40">
        <f>Q19+S19</f>
        <v>51137.880000000005</v>
      </c>
      <c r="P19" s="97">
        <f>0</f>
        <v>0</v>
      </c>
      <c r="Q19" s="355">
        <v>40298.870000000003</v>
      </c>
      <c r="R19" s="356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51" t="s">
        <v>38</v>
      </c>
      <c r="C20" s="118">
        <v>1329</v>
      </c>
      <c r="D20" s="363">
        <v>1329</v>
      </c>
      <c r="E20" s="364"/>
      <c r="F20" s="3" t="s">
        <v>76</v>
      </c>
      <c r="G20" s="363" t="s">
        <v>11</v>
      </c>
      <c r="H20" s="364"/>
      <c r="I20" s="355">
        <v>140749</v>
      </c>
      <c r="J20" s="356"/>
      <c r="K20" s="93">
        <v>0.9</v>
      </c>
      <c r="L20" s="3">
        <f t="shared" si="0"/>
        <v>117514.59</v>
      </c>
      <c r="M20" s="363">
        <v>14514.59</v>
      </c>
      <c r="N20" s="364"/>
      <c r="O20" s="3">
        <f>Q20+S20</f>
        <v>103000</v>
      </c>
      <c r="P20" s="97">
        <f>0</f>
        <v>0</v>
      </c>
      <c r="Q20" s="355">
        <f>72163-15000</f>
        <v>57163</v>
      </c>
      <c r="R20" s="356"/>
      <c r="S20" s="3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355">
        <v>104103</v>
      </c>
      <c r="J21" s="356"/>
      <c r="K21" s="87">
        <v>0.9</v>
      </c>
      <c r="L21" s="3">
        <f t="shared" si="0"/>
        <v>94255.86</v>
      </c>
      <c r="M21" s="355">
        <v>59255.86</v>
      </c>
      <c r="N21" s="356"/>
      <c r="O21" s="3">
        <f>P21+Q21+S21</f>
        <v>35000</v>
      </c>
      <c r="P21" s="97">
        <f>0</f>
        <v>0</v>
      </c>
      <c r="Q21" s="355">
        <f>0</f>
        <v>0</v>
      </c>
      <c r="R21" s="35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14">
        <v>7</v>
      </c>
      <c r="B22" s="55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197">
        <v>170000</v>
      </c>
      <c r="J22" s="97">
        <f>SUM(I22)</f>
        <v>170000</v>
      </c>
      <c r="K22" s="18">
        <v>0.9</v>
      </c>
      <c r="L22" s="3">
        <f>O22</f>
        <v>166215.82</v>
      </c>
      <c r="M22" s="85"/>
      <c r="N22" s="97">
        <v>0</v>
      </c>
      <c r="O22" s="3">
        <f>Q22+S22</f>
        <v>166215.82</v>
      </c>
      <c r="P22" s="97">
        <f>0</f>
        <v>0</v>
      </c>
      <c r="Q22" s="355">
        <f>37800+10349.82-19000</f>
        <v>29149.82</v>
      </c>
      <c r="R22" s="356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197">
        <v>117314.16</v>
      </c>
      <c r="J23" s="97">
        <f>SUM(I23)</f>
        <v>117314.16</v>
      </c>
      <c r="K23" s="18">
        <v>0.9</v>
      </c>
      <c r="L23" s="3">
        <f>O23</f>
        <v>107628.16</v>
      </c>
      <c r="M23" s="85"/>
      <c r="N23" s="97">
        <v>0</v>
      </c>
      <c r="O23" s="3">
        <f>Q23+S23</f>
        <v>107628.16</v>
      </c>
      <c r="P23" s="97">
        <f>0</f>
        <v>0</v>
      </c>
      <c r="Q23" s="355">
        <f>23000+19000+15536.08-20000-6203</f>
        <v>31333.08</v>
      </c>
      <c r="R23" s="356"/>
      <c r="S23" s="3">
        <v>76295.08</v>
      </c>
    </row>
    <row r="24" spans="1:61" ht="55.5" customHeight="1" x14ac:dyDescent="0.3">
      <c r="A24" s="14">
        <v>9</v>
      </c>
      <c r="B24" s="56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197">
        <v>122000</v>
      </c>
      <c r="J24" s="97">
        <f>SUM(I24)</f>
        <v>122000</v>
      </c>
      <c r="K24" s="18">
        <v>0.9</v>
      </c>
      <c r="L24" s="3">
        <f>O24</f>
        <v>111019.99999999999</v>
      </c>
      <c r="M24" s="85"/>
      <c r="N24" s="97">
        <v>0</v>
      </c>
      <c r="O24" s="3">
        <f>Q24+S24</f>
        <v>111019.99999999999</v>
      </c>
      <c r="P24" s="97">
        <f>0</f>
        <v>0</v>
      </c>
      <c r="Q24" s="355">
        <f>19000+10000+2609.49-20000+23978.71-8126.2-6203+1378.6</f>
        <v>22637.599999999995</v>
      </c>
      <c r="R24" s="356"/>
      <c r="S24" s="3">
        <v>88382.399999999994</v>
      </c>
    </row>
    <row r="25" spans="1:61" ht="53.25" customHeight="1" x14ac:dyDescent="0.3">
      <c r="A25" s="14">
        <v>10</v>
      </c>
      <c r="B25" s="55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197">
        <v>120200</v>
      </c>
      <c r="J25" s="97">
        <f>SUM(I25)</f>
        <v>120200</v>
      </c>
      <c r="K25" s="18">
        <v>0.9</v>
      </c>
      <c r="L25" s="3">
        <f>O25</f>
        <v>109382</v>
      </c>
      <c r="M25" s="85"/>
      <c r="N25" s="97">
        <v>0</v>
      </c>
      <c r="O25" s="3">
        <f>Q25+S25</f>
        <v>109382</v>
      </c>
      <c r="P25" s="97">
        <f>0</f>
        <v>0</v>
      </c>
      <c r="Q25" s="355">
        <f>22000+38000-944.77-27000-6203-0.49</f>
        <v>25851.74</v>
      </c>
      <c r="R25" s="356"/>
      <c r="S25" s="3">
        <v>83530.259999999995</v>
      </c>
    </row>
    <row r="26" spans="1:61" ht="42" customHeight="1" x14ac:dyDescent="0.3">
      <c r="A26" s="431"/>
      <c r="B26" s="432"/>
      <c r="C26" s="244">
        <f>SUM(C16:C25)</f>
        <v>8027.8</v>
      </c>
      <c r="D26" s="244">
        <f>SUM(D16:D25)</f>
        <v>3839</v>
      </c>
      <c r="E26" s="244">
        <v>8027.8</v>
      </c>
      <c r="F26" s="244"/>
      <c r="G26" s="244"/>
      <c r="H26" s="244"/>
      <c r="I26" s="433">
        <f>SUM(I16:I25)</f>
        <v>1169735.1600000001</v>
      </c>
      <c r="J26" s="434"/>
      <c r="K26" s="243"/>
      <c r="L26" s="244">
        <f>SUM(L16:L25)</f>
        <v>1055957.8700000001</v>
      </c>
      <c r="M26" s="437">
        <f>SUM(M16:M25)</f>
        <v>201057.09999999998</v>
      </c>
      <c r="N26" s="438"/>
      <c r="O26" s="244">
        <f>SUM(O16:O25)</f>
        <v>854900.77</v>
      </c>
      <c r="P26" s="244">
        <v>0</v>
      </c>
      <c r="Q26" s="437">
        <f>SUM(Q16:R25)</f>
        <v>321769.11</v>
      </c>
      <c r="R26" s="438"/>
      <c r="S26" s="37">
        <f>SUM(S16:S25)</f>
        <v>533131.66</v>
      </c>
      <c r="T26" s="200"/>
      <c r="U26" s="137">
        <f>Q26-400000</f>
        <v>-78230.890000000014</v>
      </c>
    </row>
    <row r="27" spans="1:61" ht="51.75" hidden="1" customHeight="1" x14ac:dyDescent="0.2">
      <c r="A27" s="14"/>
      <c r="B27" s="55" t="s">
        <v>46</v>
      </c>
      <c r="C27" s="445"/>
      <c r="D27" s="446"/>
      <c r="E27" s="138"/>
      <c r="F27" s="445"/>
      <c r="G27" s="446"/>
      <c r="H27" s="14"/>
      <c r="I27" s="445"/>
      <c r="J27" s="446"/>
      <c r="K27" s="14"/>
      <c r="L27" s="445"/>
      <c r="M27" s="446"/>
      <c r="N27" s="14"/>
      <c r="O27" s="139"/>
      <c r="P27" s="12"/>
      <c r="Q27" s="447"/>
      <c r="R27" s="446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448"/>
      <c r="R28" s="448"/>
      <c r="S28" s="62">
        <v>258297.66</v>
      </c>
      <c r="T28" s="192"/>
    </row>
    <row r="29" spans="1:61" ht="26.25" customHeight="1" x14ac:dyDescent="0.2">
      <c r="A29" s="14"/>
      <c r="B29" s="425" t="s">
        <v>104</v>
      </c>
      <c r="C29" s="426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  <c r="S29" s="427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55">
        <v>113514</v>
      </c>
      <c r="J30" s="356"/>
      <c r="K30" s="3">
        <v>0.9</v>
      </c>
      <c r="L30" s="3">
        <f>M30+O30</f>
        <v>91482.12</v>
      </c>
      <c r="M30" s="355">
        <v>40967.75</v>
      </c>
      <c r="N30" s="356"/>
      <c r="O30" s="3">
        <f>Q30+S30</f>
        <v>50514.37</v>
      </c>
      <c r="P30" s="97">
        <f>Q30</f>
        <v>50514.37</v>
      </c>
      <c r="Q30" s="355">
        <v>50514.37</v>
      </c>
      <c r="R30" s="35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f>N31+O31</f>
        <v>56861.130000000005</v>
      </c>
      <c r="M31" s="85"/>
      <c r="N31" s="97">
        <v>29144.61</v>
      </c>
      <c r="O31" s="3">
        <f>Q31+S31</f>
        <v>27716.52</v>
      </c>
      <c r="P31" s="97">
        <f>Q31</f>
        <v>27716.52</v>
      </c>
      <c r="Q31" s="355">
        <v>27716.52</v>
      </c>
      <c r="R31" s="356"/>
      <c r="S31" s="3">
        <v>0</v>
      </c>
      <c r="T31" s="136">
        <v>29144.61</v>
      </c>
    </row>
    <row r="32" spans="1:61" ht="26.25" customHeight="1" x14ac:dyDescent="0.2">
      <c r="A32" s="431" t="s">
        <v>94</v>
      </c>
      <c r="B32" s="432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>I26+I30+I31</f>
        <v>1358027.1600000001</v>
      </c>
      <c r="J32" s="155">
        <f>J26+J30+J31</f>
        <v>74778</v>
      </c>
      <c r="K32" s="155">
        <f>K26+K30+K31</f>
        <v>0.9</v>
      </c>
      <c r="L32" s="155">
        <f>L26+L30+L31</f>
        <v>1204301.1200000001</v>
      </c>
      <c r="M32" s="155">
        <f>M26+M30+M31</f>
        <v>242024.84999999998</v>
      </c>
      <c r="N32" s="155">
        <f>M26+M30+N31</f>
        <v>271169.45999999996</v>
      </c>
      <c r="O32" s="155">
        <f>O26+O30+O31</f>
        <v>933131.66</v>
      </c>
      <c r="P32" s="245">
        <f>SUM(P30:P31)</f>
        <v>78230.89</v>
      </c>
      <c r="Q32" s="463">
        <f>Q26+Q30+Q31</f>
        <v>400000</v>
      </c>
      <c r="R32" s="464"/>
      <c r="S32" s="37">
        <f>S26</f>
        <v>533131.66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454">
        <v>400000</v>
      </c>
      <c r="R33" s="454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454">
        <f>Q26+Q30+Q31</f>
        <v>400000</v>
      </c>
      <c r="R34" s="454"/>
      <c r="S34" s="100"/>
    </row>
    <row r="35" spans="1:19" ht="36.75" customHeight="1" x14ac:dyDescent="0.2">
      <c r="A35" s="449" t="s">
        <v>123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1"/>
    </row>
    <row r="36" spans="1:19" s="101" customFormat="1" ht="80.25" hidden="1" customHeight="1" x14ac:dyDescent="0.2">
      <c r="A36" s="14">
        <v>1</v>
      </c>
      <c r="B36" s="15" t="s">
        <v>52</v>
      </c>
      <c r="C36" s="341">
        <v>581</v>
      </c>
      <c r="D36" s="342"/>
      <c r="E36" s="16" t="s">
        <v>39</v>
      </c>
      <c r="F36" s="61" t="s">
        <v>76</v>
      </c>
      <c r="G36" s="61" t="s">
        <v>76</v>
      </c>
      <c r="H36" s="73" t="s">
        <v>7</v>
      </c>
      <c r="I36" s="355">
        <v>84544</v>
      </c>
      <c r="J36" s="356"/>
      <c r="K36" s="197"/>
      <c r="L36" s="355">
        <v>73959.7</v>
      </c>
      <c r="M36" s="356"/>
      <c r="N36" s="3">
        <v>62641.85</v>
      </c>
      <c r="O36" s="3">
        <v>1973.18</v>
      </c>
      <c r="P36" s="3">
        <f>0</f>
        <v>0</v>
      </c>
      <c r="Q36" s="355">
        <f>0</f>
        <v>0</v>
      </c>
      <c r="R36" s="356"/>
      <c r="S36" s="3">
        <f>1973.18</f>
        <v>1973.18</v>
      </c>
    </row>
    <row r="37" spans="1:19" s="101" customFormat="1" ht="78" hidden="1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55">
        <v>68226</v>
      </c>
      <c r="J37" s="356"/>
      <c r="K37" s="18">
        <v>0.9</v>
      </c>
      <c r="L37" s="3">
        <v>60339.6</v>
      </c>
      <c r="M37" s="355">
        <v>50670.04</v>
      </c>
      <c r="N37" s="356"/>
      <c r="O37" s="3">
        <f>'[1]Подрядный способ'!$J$5</f>
        <v>2028.02</v>
      </c>
      <c r="P37" s="97">
        <f>0</f>
        <v>0</v>
      </c>
      <c r="Q37" s="355">
        <f>0</f>
        <v>0</v>
      </c>
      <c r="R37" s="356"/>
      <c r="S37" s="3">
        <f>O37</f>
        <v>2028.02</v>
      </c>
    </row>
    <row r="38" spans="1:19" ht="38.25" customHeight="1" x14ac:dyDescent="0.3">
      <c r="A38" s="4"/>
      <c r="B38" s="159" t="s">
        <v>92</v>
      </c>
      <c r="C38" s="32"/>
      <c r="D38" s="33"/>
      <c r="E38" s="33"/>
      <c r="F38" s="33"/>
      <c r="G38" s="33"/>
      <c r="H38" s="33"/>
      <c r="I38" s="433">
        <f>SUM(I36:J37)</f>
        <v>152770</v>
      </c>
      <c r="J38" s="434"/>
      <c r="K38" s="36"/>
      <c r="L38" s="37">
        <f>SUM(L36:L37)</f>
        <v>134299.29999999999</v>
      </c>
      <c r="M38" s="433">
        <f>SUM(M36:N37)</f>
        <v>113311.89</v>
      </c>
      <c r="N38" s="434"/>
      <c r="O38" s="37">
        <f>P38+Q38+S38</f>
        <v>4001.2</v>
      </c>
      <c r="P38" s="66"/>
      <c r="Q38" s="376">
        <f>SUM(Q36:R37)</f>
        <v>0</v>
      </c>
      <c r="R38" s="455"/>
      <c r="S38" s="37">
        <f>SUM(S36:S37)</f>
        <v>4001.2</v>
      </c>
    </row>
    <row r="39" spans="1:19" ht="42" hidden="1" customHeight="1" x14ac:dyDescent="0.3">
      <c r="A39" s="4"/>
      <c r="B39" s="6" t="s">
        <v>46</v>
      </c>
      <c r="C39" s="32"/>
      <c r="D39" s="33"/>
      <c r="E39" s="33"/>
      <c r="F39" s="33"/>
      <c r="G39" s="33"/>
      <c r="H39" s="33"/>
      <c r="I39" s="197"/>
      <c r="J39" s="198"/>
      <c r="K39" s="201"/>
      <c r="L39" s="3"/>
      <c r="M39" s="34"/>
      <c r="N39" s="97"/>
      <c r="O39" s="37"/>
      <c r="P39" s="66"/>
      <c r="Q39" s="65"/>
      <c r="R39" s="35"/>
      <c r="S39" s="37">
        <f>S38</f>
        <v>4001.2</v>
      </c>
    </row>
    <row r="40" spans="1:19" ht="0.75" hidden="1" customHeight="1" x14ac:dyDescent="0.2">
      <c r="A40" s="337" t="s">
        <v>28</v>
      </c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9"/>
    </row>
    <row r="41" spans="1:19" s="43" customFormat="1" ht="75.75" hidden="1" customHeight="1" x14ac:dyDescent="0.2">
      <c r="A41" s="8" t="s">
        <v>41</v>
      </c>
      <c r="B41" s="63" t="s">
        <v>41</v>
      </c>
      <c r="C41" s="44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197" t="s">
        <v>41</v>
      </c>
      <c r="J41" s="198"/>
      <c r="K41" s="198"/>
      <c r="L41" s="3" t="s">
        <v>41</v>
      </c>
      <c r="M41" s="68"/>
      <c r="N41" s="97" t="s">
        <v>41</v>
      </c>
      <c r="O41" s="40" t="s">
        <v>41</v>
      </c>
      <c r="P41" s="41" t="s">
        <v>41</v>
      </c>
      <c r="Q41" s="42" t="s">
        <v>41</v>
      </c>
      <c r="R41" s="64"/>
      <c r="S41" s="68" t="s">
        <v>41</v>
      </c>
    </row>
    <row r="42" spans="1:19" s="43" customFormat="1" ht="33.75" hidden="1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1:19" ht="46.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24.75" customHeight="1" x14ac:dyDescent="0.2">
      <c r="A44" s="425" t="s">
        <v>51</v>
      </c>
      <c r="B44" s="426"/>
      <c r="C44" s="426"/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7"/>
    </row>
    <row r="45" spans="1:19" ht="60.75" customHeight="1" x14ac:dyDescent="0.2">
      <c r="A45" s="14" t="s">
        <v>71</v>
      </c>
      <c r="B45" s="59" t="s">
        <v>10</v>
      </c>
      <c r="C45" s="129">
        <v>1717</v>
      </c>
      <c r="D45" s="73"/>
      <c r="E45" s="129"/>
      <c r="F45" s="340" t="s">
        <v>74</v>
      </c>
      <c r="G45" s="334"/>
      <c r="H45" s="73" t="s">
        <v>75</v>
      </c>
      <c r="I45" s="341"/>
      <c r="J45" s="342"/>
      <c r="K45" s="98"/>
      <c r="L45" s="355"/>
      <c r="M45" s="356"/>
      <c r="N45" s="3">
        <v>0</v>
      </c>
      <c r="O45" s="3">
        <v>12000</v>
      </c>
      <c r="P45" s="3">
        <v>0</v>
      </c>
      <c r="Q45" s="355">
        <v>0</v>
      </c>
      <c r="R45" s="356"/>
      <c r="S45" s="3">
        <f>O45</f>
        <v>12000</v>
      </c>
    </row>
    <row r="46" spans="1:19" ht="63.75" customHeight="1" x14ac:dyDescent="0.2">
      <c r="A46" s="14">
        <v>2</v>
      </c>
      <c r="B46" s="59" t="s">
        <v>55</v>
      </c>
      <c r="C46" s="129">
        <v>1206</v>
      </c>
      <c r="D46" s="73"/>
      <c r="E46" s="129"/>
      <c r="F46" s="340" t="s">
        <v>86</v>
      </c>
      <c r="G46" s="334"/>
      <c r="H46" s="73" t="s">
        <v>13</v>
      </c>
      <c r="I46" s="341"/>
      <c r="J46" s="342"/>
      <c r="K46" s="61"/>
      <c r="L46" s="355"/>
      <c r="M46" s="356"/>
      <c r="N46" s="3">
        <v>0</v>
      </c>
      <c r="O46" s="3">
        <v>12000</v>
      </c>
      <c r="P46" s="3">
        <f>0</f>
        <v>0</v>
      </c>
      <c r="Q46" s="355">
        <f>0</f>
        <v>0</v>
      </c>
      <c r="R46" s="356"/>
      <c r="S46" s="3">
        <v>11000</v>
      </c>
    </row>
    <row r="47" spans="1:19" ht="62.25" customHeight="1" x14ac:dyDescent="0.2">
      <c r="A47" s="14">
        <v>3</v>
      </c>
      <c r="B47" s="54" t="s">
        <v>83</v>
      </c>
      <c r="C47" s="129">
        <v>514</v>
      </c>
      <c r="D47" s="73"/>
      <c r="E47" s="129"/>
      <c r="F47" s="340" t="s">
        <v>13</v>
      </c>
      <c r="G47" s="334"/>
      <c r="H47" s="73" t="s">
        <v>9</v>
      </c>
      <c r="I47" s="341"/>
      <c r="J47" s="342"/>
      <c r="K47" s="61"/>
      <c r="L47" s="355"/>
      <c r="M47" s="356"/>
      <c r="N47" s="3">
        <v>0</v>
      </c>
      <c r="O47" s="3">
        <f>S47</f>
        <v>8000</v>
      </c>
      <c r="P47" s="3">
        <f>0</f>
        <v>0</v>
      </c>
      <c r="Q47" s="355">
        <f>0</f>
        <v>0</v>
      </c>
      <c r="R47" s="356"/>
      <c r="S47" s="3">
        <v>8000</v>
      </c>
    </row>
    <row r="48" spans="1:19" ht="60.75" customHeight="1" x14ac:dyDescent="0.2">
      <c r="A48" s="14">
        <v>4</v>
      </c>
      <c r="B48" s="59" t="s">
        <v>93</v>
      </c>
      <c r="C48" s="16">
        <v>365</v>
      </c>
      <c r="D48" s="73"/>
      <c r="E48" s="129"/>
      <c r="F48" s="340" t="s">
        <v>12</v>
      </c>
      <c r="G48" s="334"/>
      <c r="H48" s="73" t="s">
        <v>7</v>
      </c>
      <c r="I48" s="341"/>
      <c r="J48" s="342"/>
      <c r="K48" s="61"/>
      <c r="L48" s="462"/>
      <c r="M48" s="462"/>
      <c r="N48" s="3">
        <v>0</v>
      </c>
      <c r="O48" s="3">
        <f>S48</f>
        <v>8000</v>
      </c>
      <c r="P48" s="3">
        <f>0</f>
        <v>0</v>
      </c>
      <c r="Q48" s="355">
        <f>0</f>
        <v>0</v>
      </c>
      <c r="R48" s="356"/>
      <c r="S48" s="3">
        <v>8000</v>
      </c>
    </row>
    <row r="49" spans="1:21" ht="60.75" customHeight="1" x14ac:dyDescent="0.2">
      <c r="A49" s="14">
        <v>5</v>
      </c>
      <c r="B49" s="59" t="s">
        <v>57</v>
      </c>
      <c r="C49" s="129">
        <v>697</v>
      </c>
      <c r="D49" s="73"/>
      <c r="E49" s="129"/>
      <c r="F49" s="340" t="s">
        <v>12</v>
      </c>
      <c r="G49" s="334"/>
      <c r="H49" s="73" t="s">
        <v>7</v>
      </c>
      <c r="I49" s="341"/>
      <c r="J49" s="342"/>
      <c r="K49" s="61"/>
      <c r="L49" s="355"/>
      <c r="M49" s="356"/>
      <c r="N49" s="3">
        <v>0</v>
      </c>
      <c r="O49" s="3">
        <f>S49</f>
        <v>10000</v>
      </c>
      <c r="P49" s="3">
        <f>0</f>
        <v>0</v>
      </c>
      <c r="Q49" s="355">
        <f>0</f>
        <v>0</v>
      </c>
      <c r="R49" s="356"/>
      <c r="S49" s="3">
        <v>10000</v>
      </c>
    </row>
    <row r="50" spans="1:21" ht="60.75" customHeight="1" x14ac:dyDescent="0.2">
      <c r="A50" s="14">
        <v>6</v>
      </c>
      <c r="B50" s="55" t="s">
        <v>79</v>
      </c>
      <c r="C50" s="129">
        <v>767</v>
      </c>
      <c r="D50" s="73"/>
      <c r="E50" s="129"/>
      <c r="F50" s="340" t="s">
        <v>74</v>
      </c>
      <c r="G50" s="334"/>
      <c r="H50" s="73" t="s">
        <v>75</v>
      </c>
      <c r="I50" s="61"/>
      <c r="J50" s="61"/>
      <c r="K50" s="61"/>
      <c r="L50" s="3"/>
      <c r="M50" s="3"/>
      <c r="N50" s="3">
        <v>0</v>
      </c>
      <c r="O50" s="3">
        <f>S50</f>
        <v>10499.99</v>
      </c>
      <c r="P50" s="3">
        <f>0</f>
        <v>0</v>
      </c>
      <c r="Q50" s="355">
        <f>0</f>
        <v>0</v>
      </c>
      <c r="R50" s="356"/>
      <c r="S50" s="3">
        <v>10499.99</v>
      </c>
    </row>
    <row r="51" spans="1:21" ht="60.75" customHeight="1" x14ac:dyDescent="0.2">
      <c r="A51" s="14">
        <v>7</v>
      </c>
      <c r="B51" s="56" t="s">
        <v>78</v>
      </c>
      <c r="C51" s="129">
        <v>610</v>
      </c>
      <c r="D51" s="73"/>
      <c r="E51" s="129"/>
      <c r="F51" s="340" t="s">
        <v>74</v>
      </c>
      <c r="G51" s="334"/>
      <c r="H51" s="73" t="s">
        <v>75</v>
      </c>
      <c r="I51" s="61"/>
      <c r="J51" s="61"/>
      <c r="K51" s="61"/>
      <c r="L51" s="3"/>
      <c r="M51" s="3"/>
      <c r="N51" s="3">
        <v>0</v>
      </c>
      <c r="O51" s="3">
        <f>S51</f>
        <v>10000</v>
      </c>
      <c r="P51" s="3">
        <f>0</f>
        <v>0</v>
      </c>
      <c r="Q51" s="355">
        <f>0</f>
        <v>0</v>
      </c>
      <c r="R51" s="356"/>
      <c r="S51" s="3">
        <v>10000</v>
      </c>
    </row>
    <row r="52" spans="1:21" ht="60.75" customHeight="1" x14ac:dyDescent="0.2">
      <c r="A52" s="14">
        <v>8</v>
      </c>
      <c r="B52" s="55" t="s">
        <v>58</v>
      </c>
      <c r="C52" s="129">
        <v>601</v>
      </c>
      <c r="D52" s="73"/>
      <c r="E52" s="129"/>
      <c r="F52" s="340" t="s">
        <v>74</v>
      </c>
      <c r="G52" s="334"/>
      <c r="H52" s="73" t="s">
        <v>75</v>
      </c>
      <c r="I52" s="61"/>
      <c r="J52" s="61"/>
      <c r="K52" s="61"/>
      <c r="L52" s="3"/>
      <c r="M52" s="3"/>
      <c r="N52" s="3">
        <v>0</v>
      </c>
      <c r="O52" s="3">
        <v>10000</v>
      </c>
      <c r="P52" s="3">
        <f>0</f>
        <v>0</v>
      </c>
      <c r="Q52" s="355">
        <f>0</f>
        <v>0</v>
      </c>
      <c r="R52" s="356"/>
      <c r="S52" s="3">
        <v>9000</v>
      </c>
    </row>
    <row r="53" spans="1:21" ht="49.5" customHeight="1" x14ac:dyDescent="0.2">
      <c r="A53" s="14">
        <v>9</v>
      </c>
      <c r="B53" s="119" t="s">
        <v>38</v>
      </c>
      <c r="C53" s="130">
        <v>1329</v>
      </c>
      <c r="D53" s="404"/>
      <c r="E53" s="405"/>
      <c r="F53" s="73"/>
      <c r="G53" s="359"/>
      <c r="H53" s="360"/>
      <c r="I53" s="355"/>
      <c r="J53" s="356"/>
      <c r="K53" s="93">
        <v>0.9</v>
      </c>
      <c r="L53" s="93"/>
      <c r="M53" s="363">
        <v>0</v>
      </c>
      <c r="N53" s="364"/>
      <c r="O53" s="118">
        <f>1889.55</f>
        <v>1889.55</v>
      </c>
      <c r="P53" s="242">
        <f>O53</f>
        <v>1889.55</v>
      </c>
      <c r="Q53" s="363">
        <v>0</v>
      </c>
      <c r="R53" s="364"/>
      <c r="S53" s="3">
        <v>1889.55</v>
      </c>
    </row>
    <row r="54" spans="1:21" ht="58.5" customHeight="1" x14ac:dyDescent="0.2">
      <c r="A54" s="14">
        <v>10</v>
      </c>
      <c r="B54" s="55" t="s">
        <v>80</v>
      </c>
      <c r="C54" s="129">
        <v>775</v>
      </c>
      <c r="D54" s="73"/>
      <c r="E54" s="129"/>
      <c r="F54" s="340" t="s">
        <v>8</v>
      </c>
      <c r="G54" s="334"/>
      <c r="H54" s="73" t="s">
        <v>12</v>
      </c>
      <c r="I54" s="61"/>
      <c r="J54" s="61"/>
      <c r="K54" s="61"/>
      <c r="L54" s="3"/>
      <c r="M54" s="3"/>
      <c r="N54" s="3">
        <v>0</v>
      </c>
      <c r="O54" s="3">
        <v>120000</v>
      </c>
      <c r="P54" s="3">
        <v>0</v>
      </c>
      <c r="Q54" s="355">
        <v>0</v>
      </c>
      <c r="R54" s="356"/>
      <c r="S54" s="3">
        <f>7000+2327.06</f>
        <v>9327.06</v>
      </c>
    </row>
    <row r="55" spans="1:21" ht="58.5" customHeight="1" x14ac:dyDescent="0.2">
      <c r="A55" s="14">
        <v>11</v>
      </c>
      <c r="B55" s="55" t="s">
        <v>107</v>
      </c>
      <c r="C55" s="129">
        <v>431</v>
      </c>
      <c r="D55" s="73"/>
      <c r="E55" s="129"/>
      <c r="F55" s="340" t="s">
        <v>13</v>
      </c>
      <c r="G55" s="334"/>
      <c r="H55" s="73" t="s">
        <v>47</v>
      </c>
      <c r="I55" s="61"/>
      <c r="J55" s="61"/>
      <c r="K55" s="61"/>
      <c r="L55" s="3"/>
      <c r="M55" s="3"/>
      <c r="N55" s="3">
        <v>0</v>
      </c>
      <c r="O55" s="3">
        <v>10000</v>
      </c>
      <c r="P55" s="3">
        <v>0</v>
      </c>
      <c r="Q55" s="355">
        <v>0</v>
      </c>
      <c r="R55" s="356"/>
      <c r="S55" s="3">
        <v>8500</v>
      </c>
    </row>
    <row r="56" spans="1:21" ht="58.5" customHeight="1" x14ac:dyDescent="0.2">
      <c r="A56" s="14">
        <v>12</v>
      </c>
      <c r="B56" s="55" t="s">
        <v>108</v>
      </c>
      <c r="C56" s="129">
        <v>932.55</v>
      </c>
      <c r="D56" s="73"/>
      <c r="E56" s="129"/>
      <c r="F56" s="340" t="s">
        <v>13</v>
      </c>
      <c r="G56" s="334"/>
      <c r="H56" s="73" t="s">
        <v>47</v>
      </c>
      <c r="I56" s="61"/>
      <c r="J56" s="61"/>
      <c r="K56" s="61"/>
      <c r="L56" s="3"/>
      <c r="M56" s="3"/>
      <c r="N56" s="3">
        <v>0</v>
      </c>
      <c r="O56" s="3">
        <v>14000</v>
      </c>
      <c r="P56" s="3">
        <v>0</v>
      </c>
      <c r="Q56" s="355">
        <v>0</v>
      </c>
      <c r="R56" s="356"/>
      <c r="S56" s="3">
        <v>11000</v>
      </c>
    </row>
    <row r="57" spans="1:21" ht="58.5" hidden="1" customHeight="1" x14ac:dyDescent="0.2">
      <c r="A57" s="14">
        <v>13</v>
      </c>
      <c r="B57" s="55" t="s">
        <v>109</v>
      </c>
      <c r="C57" s="129">
        <v>924</v>
      </c>
      <c r="D57" s="73"/>
      <c r="E57" s="129"/>
      <c r="F57" s="340" t="s">
        <v>13</v>
      </c>
      <c r="G57" s="334"/>
      <c r="H57" s="73" t="s">
        <v>47</v>
      </c>
      <c r="I57" s="61"/>
      <c r="J57" s="61"/>
      <c r="K57" s="61"/>
      <c r="L57" s="61"/>
      <c r="M57" s="61"/>
      <c r="N57" s="62"/>
      <c r="O57" s="62"/>
      <c r="P57" s="62"/>
      <c r="Q57" s="343"/>
      <c r="R57" s="344"/>
      <c r="S57" s="62"/>
    </row>
    <row r="58" spans="1:21" ht="58.5" hidden="1" customHeight="1" x14ac:dyDescent="0.2">
      <c r="A58" s="14">
        <v>14</v>
      </c>
      <c r="B58" s="55" t="s">
        <v>110</v>
      </c>
      <c r="C58" s="129">
        <v>730</v>
      </c>
      <c r="D58" s="73"/>
      <c r="E58" s="129"/>
      <c r="F58" s="340" t="s">
        <v>13</v>
      </c>
      <c r="G58" s="334"/>
      <c r="H58" s="73" t="s">
        <v>47</v>
      </c>
      <c r="I58" s="61"/>
      <c r="J58" s="61"/>
      <c r="K58" s="61"/>
      <c r="L58" s="61"/>
      <c r="M58" s="61"/>
      <c r="N58" s="62"/>
      <c r="O58" s="62"/>
      <c r="P58" s="62"/>
      <c r="Q58" s="343"/>
      <c r="R58" s="344"/>
      <c r="S58" s="62"/>
    </row>
    <row r="59" spans="1:21" ht="58.5" hidden="1" customHeight="1" x14ac:dyDescent="0.2">
      <c r="A59" s="14">
        <v>15</v>
      </c>
      <c r="B59" s="55" t="s">
        <v>112</v>
      </c>
      <c r="C59" s="129">
        <v>329</v>
      </c>
      <c r="D59" s="73"/>
      <c r="E59" s="129"/>
      <c r="F59" s="340" t="s">
        <v>13</v>
      </c>
      <c r="G59" s="334"/>
      <c r="H59" s="73" t="s">
        <v>47</v>
      </c>
      <c r="I59" s="61"/>
      <c r="J59" s="61"/>
      <c r="K59" s="61"/>
      <c r="L59" s="61"/>
      <c r="M59" s="61"/>
      <c r="N59" s="62"/>
      <c r="O59" s="62"/>
      <c r="P59" s="62"/>
      <c r="Q59" s="343"/>
      <c r="R59" s="344"/>
      <c r="S59" s="62"/>
    </row>
    <row r="60" spans="1:21" ht="58.5" hidden="1" customHeight="1" x14ac:dyDescent="0.2">
      <c r="A60" s="14">
        <v>16</v>
      </c>
      <c r="B60" s="55" t="s">
        <v>113</v>
      </c>
      <c r="C60" s="129">
        <v>554</v>
      </c>
      <c r="D60" s="73"/>
      <c r="E60" s="129"/>
      <c r="F60" s="340" t="s">
        <v>13</v>
      </c>
      <c r="G60" s="334"/>
      <c r="H60" s="73" t="s">
        <v>47</v>
      </c>
      <c r="I60" s="61"/>
      <c r="J60" s="61"/>
      <c r="K60" s="61"/>
      <c r="L60" s="61"/>
      <c r="M60" s="61"/>
      <c r="N60" s="62"/>
      <c r="O60" s="62"/>
      <c r="P60" s="62"/>
      <c r="Q60" s="343"/>
      <c r="R60" s="344"/>
      <c r="S60" s="62"/>
    </row>
    <row r="61" spans="1:21" ht="34.5" customHeight="1" x14ac:dyDescent="0.2">
      <c r="A61" s="4"/>
      <c r="B61" s="162" t="s">
        <v>105</v>
      </c>
      <c r="C61" s="161">
        <f>SUM(C45:C60)</f>
        <v>12481.55</v>
      </c>
      <c r="D61" s="162"/>
      <c r="E61" s="161"/>
      <c r="F61" s="162"/>
      <c r="G61" s="162"/>
      <c r="H61" s="162"/>
      <c r="I61" s="162"/>
      <c r="J61" s="162"/>
      <c r="K61" s="162"/>
      <c r="L61" s="162"/>
      <c r="M61" s="162"/>
      <c r="N61" s="22">
        <f>SUM(N45:N54)</f>
        <v>0</v>
      </c>
      <c r="O61" s="22">
        <f>SUM(O45:O54)</f>
        <v>202389.53999999998</v>
      </c>
      <c r="P61" s="22">
        <f>SUM(P45:P54)</f>
        <v>1889.55</v>
      </c>
      <c r="Q61" s="376">
        <f>SUM(Q45:R54)</f>
        <v>0</v>
      </c>
      <c r="R61" s="377"/>
      <c r="S61" s="22">
        <f>SUM(S45:S58)+S59+S60</f>
        <v>109216.59999999999</v>
      </c>
    </row>
    <row r="62" spans="1:21" ht="32.25" hidden="1" customHeight="1" x14ac:dyDescent="0.2">
      <c r="A62" s="449"/>
      <c r="B62" s="450"/>
      <c r="C62" s="450"/>
      <c r="D62" s="450"/>
      <c r="E62" s="450"/>
      <c r="F62" s="450"/>
      <c r="G62" s="450"/>
      <c r="H62" s="450"/>
      <c r="I62" s="450"/>
      <c r="J62" s="450"/>
      <c r="K62" s="450"/>
      <c r="L62" s="450"/>
      <c r="M62" s="450"/>
      <c r="N62" s="450"/>
      <c r="O62" s="450"/>
      <c r="P62" s="450"/>
      <c r="Q62" s="450"/>
      <c r="R62" s="450"/>
      <c r="S62" s="451"/>
    </row>
    <row r="63" spans="1:21" ht="45" customHeight="1" x14ac:dyDescent="0.3">
      <c r="A63" s="4"/>
      <c r="B63" s="239" t="s">
        <v>114</v>
      </c>
      <c r="C63" s="407"/>
      <c r="D63" s="408"/>
      <c r="E63" s="5"/>
      <c r="F63" s="407"/>
      <c r="G63" s="408"/>
      <c r="H63" s="4"/>
      <c r="I63" s="433">
        <f>I32+I38</f>
        <v>1510797.1600000001</v>
      </c>
      <c r="J63" s="434"/>
      <c r="K63" s="3"/>
      <c r="L63" s="433">
        <f>L32+L38</f>
        <v>1338600.4200000002</v>
      </c>
      <c r="M63" s="434"/>
      <c r="N63" s="37">
        <f>N32+M38+N61</f>
        <v>384481.35</v>
      </c>
      <c r="O63" s="37">
        <f>O32+O38+O61</f>
        <v>1139522.3999999999</v>
      </c>
      <c r="P63" s="37">
        <f>P32+P61</f>
        <v>80120.44</v>
      </c>
      <c r="Q63" s="433">
        <f>Q32</f>
        <v>400000</v>
      </c>
      <c r="R63" s="434"/>
      <c r="S63" s="37">
        <f>S26+S38+S61</f>
        <v>646349.46</v>
      </c>
      <c r="U63" s="192">
        <f>S63-S64</f>
        <v>388051.79999999993</v>
      </c>
    </row>
    <row r="64" spans="1:21" ht="38.25" customHeight="1" x14ac:dyDescent="0.2">
      <c r="A64" s="105"/>
      <c r="B64" s="59" t="s">
        <v>120</v>
      </c>
      <c r="C64" s="107"/>
      <c r="D64" s="108"/>
      <c r="E64" s="106"/>
      <c r="F64" s="107"/>
      <c r="G64" s="108"/>
      <c r="H64" s="105"/>
      <c r="I64" s="202"/>
      <c r="J64" s="203"/>
      <c r="K64" s="54"/>
      <c r="L64" s="204"/>
      <c r="M64" s="113"/>
      <c r="N64" s="140"/>
      <c r="O64" s="115"/>
      <c r="P64" s="116"/>
      <c r="Q64" s="346"/>
      <c r="R64" s="346"/>
      <c r="S64" s="3">
        <v>258297.66</v>
      </c>
    </row>
    <row r="65" spans="2:20" ht="20.25" x14ac:dyDescent="0.3">
      <c r="B65" s="231" t="s">
        <v>100</v>
      </c>
      <c r="C65" s="231"/>
      <c r="D65" s="231"/>
      <c r="E65" s="231"/>
      <c r="F65" s="231"/>
      <c r="G65" s="231"/>
      <c r="H65" s="231" t="s">
        <v>95</v>
      </c>
      <c r="I65" s="231"/>
    </row>
    <row r="66" spans="2:20" ht="25.5" x14ac:dyDescent="0.35">
      <c r="B66" s="231" t="s">
        <v>96</v>
      </c>
      <c r="C66" s="231"/>
      <c r="D66" s="231"/>
      <c r="E66" s="231"/>
      <c r="F66" s="231"/>
      <c r="G66" s="231"/>
      <c r="H66" s="231" t="s">
        <v>45</v>
      </c>
      <c r="I66" s="231"/>
      <c r="J66" s="147"/>
      <c r="K66" s="147"/>
      <c r="L66" s="147"/>
      <c r="M66" s="148"/>
      <c r="N66" s="148"/>
      <c r="P66" s="23"/>
      <c r="Q66" s="23"/>
      <c r="S66" s="21"/>
    </row>
    <row r="67" spans="2:20" x14ac:dyDescent="0.2">
      <c r="B67" s="233"/>
      <c r="C67" s="233"/>
      <c r="D67" s="233"/>
      <c r="E67" s="233"/>
      <c r="F67" s="233"/>
      <c r="G67" s="233"/>
      <c r="H67" s="233"/>
      <c r="I67" s="233"/>
      <c r="J67" s="148"/>
      <c r="K67" s="148"/>
      <c r="L67" s="148"/>
      <c r="M67" s="148"/>
      <c r="N67" s="148"/>
    </row>
    <row r="68" spans="2:20" ht="20.25" x14ac:dyDescent="0.3">
      <c r="B68" s="233"/>
      <c r="C68" s="233"/>
      <c r="D68" s="233"/>
      <c r="E68" s="233"/>
      <c r="F68" s="233"/>
      <c r="G68" s="233"/>
      <c r="H68" s="233"/>
      <c r="I68" s="233"/>
      <c r="J68" s="148"/>
      <c r="K68" s="148"/>
      <c r="L68" s="148"/>
      <c r="M68" s="148"/>
      <c r="N68" s="148"/>
      <c r="S68" s="241"/>
      <c r="T68" s="240">
        <v>258</v>
      </c>
    </row>
    <row r="69" spans="2:20" ht="20.25" x14ac:dyDescent="0.3">
      <c r="J69" s="147"/>
      <c r="K69" s="147"/>
      <c r="L69" s="147"/>
      <c r="M69" s="147"/>
      <c r="N69" s="147"/>
      <c r="S69" s="23"/>
      <c r="T69" s="240">
        <v>388</v>
      </c>
    </row>
    <row r="70" spans="2:20" ht="20.25" x14ac:dyDescent="0.3">
      <c r="B70" s="233"/>
      <c r="C70" s="233"/>
      <c r="D70" s="233"/>
      <c r="E70" s="233"/>
      <c r="F70" s="233"/>
      <c r="G70" s="233"/>
      <c r="H70" s="233"/>
      <c r="I70" s="233"/>
      <c r="J70" s="148"/>
      <c r="K70" s="148"/>
      <c r="L70" s="148"/>
      <c r="M70" s="148"/>
      <c r="N70" s="148"/>
      <c r="T70" s="240">
        <f ca="1">SUM(T68:T70)</f>
        <v>3618246</v>
      </c>
    </row>
    <row r="71" spans="2:20" x14ac:dyDescent="0.2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2:20" ht="22.5" customHeight="1" x14ac:dyDescent="0.2"/>
  </sheetData>
  <mergeCells count="142">
    <mergeCell ref="Q64:R64"/>
    <mergeCell ref="Q61:R61"/>
    <mergeCell ref="A62:S62"/>
    <mergeCell ref="C63:D63"/>
    <mergeCell ref="F63:G63"/>
    <mergeCell ref="I63:J63"/>
    <mergeCell ref="L63:M63"/>
    <mergeCell ref="Q63:R63"/>
    <mergeCell ref="F58:G58"/>
    <mergeCell ref="Q58:R58"/>
    <mergeCell ref="F59:G59"/>
    <mergeCell ref="Q59:R59"/>
    <mergeCell ref="F60:G60"/>
    <mergeCell ref="Q60:R60"/>
    <mergeCell ref="F55:G55"/>
    <mergeCell ref="Q55:R55"/>
    <mergeCell ref="F56:G56"/>
    <mergeCell ref="Q56:R56"/>
    <mergeCell ref="F57:G57"/>
    <mergeCell ref="Q57:R57"/>
    <mergeCell ref="D53:E53"/>
    <mergeCell ref="G53:H53"/>
    <mergeCell ref="I53:J53"/>
    <mergeCell ref="M53:N53"/>
    <mergeCell ref="Q53:R53"/>
    <mergeCell ref="F54:G54"/>
    <mergeCell ref="Q54:R54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46:G46"/>
    <mergeCell ref="I46:J46"/>
    <mergeCell ref="L46:M46"/>
    <mergeCell ref="Q46:R46"/>
    <mergeCell ref="F47:G47"/>
    <mergeCell ref="I47:J47"/>
    <mergeCell ref="L47:M47"/>
    <mergeCell ref="Q47:R47"/>
    <mergeCell ref="A40:S40"/>
    <mergeCell ref="A44:S44"/>
    <mergeCell ref="F45:G45"/>
    <mergeCell ref="I45:J45"/>
    <mergeCell ref="L45:M45"/>
    <mergeCell ref="Q45:R45"/>
    <mergeCell ref="I37:J37"/>
    <mergeCell ref="M37:N37"/>
    <mergeCell ref="Q37:R37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</mergeCells>
  <pageMargins left="0" right="0" top="0" bottom="0" header="0" footer="0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72"/>
  <sheetViews>
    <sheetView tabSelected="1" topLeftCell="A46" zoomScale="96" zoomScaleNormal="96" zoomScaleSheetLayoutView="96" workbookViewId="0">
      <selection activeCell="F56" sqref="F56"/>
    </sheetView>
  </sheetViews>
  <sheetFormatPr defaultColWidth="9.140625" defaultRowHeight="15" x14ac:dyDescent="0.25"/>
  <cols>
    <col min="1" max="1" width="5.28515625" style="290" customWidth="1"/>
    <col min="2" max="2" width="56.140625" style="290" customWidth="1"/>
    <col min="3" max="3" width="11.42578125" style="290" customWidth="1"/>
    <col min="4" max="4" width="10.42578125" style="290" customWidth="1"/>
    <col min="5" max="5" width="15.28515625" style="290" customWidth="1"/>
    <col min="6" max="6" width="15" style="290" customWidth="1"/>
    <col min="7" max="7" width="11.42578125" style="17" customWidth="1"/>
    <col min="8" max="16384" width="9.140625" style="17"/>
  </cols>
  <sheetData>
    <row r="1" spans="1:7" ht="16.5" x14ac:dyDescent="0.25">
      <c r="B1" s="317"/>
      <c r="C1" s="317" t="s">
        <v>33</v>
      </c>
      <c r="D1" s="317"/>
      <c r="E1" s="318"/>
      <c r="F1" s="317"/>
    </row>
    <row r="2" spans="1:7" ht="16.5" x14ac:dyDescent="0.25">
      <c r="B2" s="319"/>
      <c r="C2" s="469" t="s">
        <v>208</v>
      </c>
      <c r="D2" s="469"/>
      <c r="E2" s="469"/>
      <c r="F2" s="319"/>
    </row>
    <row r="3" spans="1:7" ht="16.5" x14ac:dyDescent="0.25">
      <c r="B3" s="320"/>
      <c r="C3" s="469" t="s">
        <v>207</v>
      </c>
      <c r="D3" s="469"/>
      <c r="E3" s="469"/>
      <c r="F3" s="321"/>
    </row>
    <row r="4" spans="1:7" ht="16.5" x14ac:dyDescent="0.25">
      <c r="B4" s="317"/>
      <c r="C4" s="317" t="s">
        <v>232</v>
      </c>
      <c r="D4" s="318"/>
      <c r="E4" s="318"/>
      <c r="F4" s="317"/>
    </row>
    <row r="5" spans="1:7" ht="13.5" customHeight="1" x14ac:dyDescent="0.25">
      <c r="B5" s="321"/>
      <c r="C5" s="321"/>
      <c r="D5" s="318"/>
      <c r="E5" s="317"/>
      <c r="F5" s="321"/>
    </row>
    <row r="6" spans="1:7" x14ac:dyDescent="0.25">
      <c r="A6" s="292"/>
      <c r="B6" s="293" t="s">
        <v>129</v>
      </c>
      <c r="D6" s="291"/>
    </row>
    <row r="7" spans="1:7" x14ac:dyDescent="0.25">
      <c r="A7" s="292"/>
      <c r="B7" s="293" t="s">
        <v>204</v>
      </c>
      <c r="F7" s="293"/>
    </row>
    <row r="8" spans="1:7" s="288" customFormat="1" ht="18" customHeight="1" x14ac:dyDescent="0.2">
      <c r="A8" s="470" t="s">
        <v>4</v>
      </c>
      <c r="B8" s="470" t="s">
        <v>14</v>
      </c>
      <c r="C8" s="470" t="s">
        <v>15</v>
      </c>
      <c r="D8" s="470" t="s">
        <v>16</v>
      </c>
      <c r="E8" s="470" t="s">
        <v>17</v>
      </c>
      <c r="F8" s="470"/>
    </row>
    <row r="9" spans="1:7" s="288" customFormat="1" ht="13.5" customHeight="1" x14ac:dyDescent="0.2">
      <c r="A9" s="470"/>
      <c r="B9" s="470"/>
      <c r="C9" s="470"/>
      <c r="D9" s="470"/>
      <c r="E9" s="470"/>
      <c r="F9" s="470"/>
    </row>
    <row r="10" spans="1:7" s="288" customFormat="1" ht="12.75" customHeight="1" x14ac:dyDescent="0.2">
      <c r="A10" s="470"/>
      <c r="B10" s="470"/>
      <c r="C10" s="470"/>
      <c r="D10" s="470"/>
      <c r="E10" s="294" t="s">
        <v>20</v>
      </c>
      <c r="F10" s="294" t="s">
        <v>21</v>
      </c>
    </row>
    <row r="11" spans="1:7" s="288" customFormat="1" ht="11.25" customHeight="1" x14ac:dyDescent="0.2">
      <c r="A11" s="470"/>
      <c r="B11" s="470"/>
      <c r="C11" s="470"/>
      <c r="D11" s="470"/>
      <c r="E11" s="294" t="s">
        <v>69</v>
      </c>
      <c r="F11" s="294" t="s">
        <v>69</v>
      </c>
    </row>
    <row r="12" spans="1:7" s="288" customFormat="1" ht="99.75" customHeight="1" x14ac:dyDescent="0.2">
      <c r="A12" s="470"/>
      <c r="B12" s="470"/>
      <c r="C12" s="470"/>
      <c r="D12" s="470"/>
      <c r="E12" s="294" t="s">
        <v>127</v>
      </c>
      <c r="F12" s="294" t="s">
        <v>127</v>
      </c>
    </row>
    <row r="13" spans="1:7" s="288" customFormat="1" ht="14.25" x14ac:dyDescent="0.2">
      <c r="A13" s="294">
        <v>1</v>
      </c>
      <c r="B13" s="294">
        <v>2</v>
      </c>
      <c r="C13" s="294">
        <v>3</v>
      </c>
      <c r="D13" s="295">
        <v>4</v>
      </c>
      <c r="E13" s="294">
        <v>5</v>
      </c>
      <c r="F13" s="295">
        <v>6</v>
      </c>
    </row>
    <row r="14" spans="1:7" s="288" customFormat="1" ht="13.5" customHeight="1" x14ac:dyDescent="0.2">
      <c r="A14" s="471" t="s">
        <v>187</v>
      </c>
      <c r="B14" s="471"/>
      <c r="C14" s="471"/>
      <c r="D14" s="471"/>
      <c r="E14" s="471"/>
      <c r="F14" s="471"/>
    </row>
    <row r="15" spans="1:7" s="288" customFormat="1" ht="30" x14ac:dyDescent="0.2">
      <c r="A15" s="296">
        <v>1</v>
      </c>
      <c r="B15" s="297" t="s">
        <v>203</v>
      </c>
      <c r="C15" s="298">
        <v>644</v>
      </c>
      <c r="D15" s="298">
        <v>644</v>
      </c>
      <c r="E15" s="299" t="s">
        <v>185</v>
      </c>
      <c r="F15" s="299" t="s">
        <v>199</v>
      </c>
      <c r="G15" s="289"/>
    </row>
    <row r="16" spans="1:7" s="288" customFormat="1" ht="30" x14ac:dyDescent="0.2">
      <c r="A16" s="296">
        <v>2</v>
      </c>
      <c r="B16" s="300" t="s">
        <v>163</v>
      </c>
      <c r="C16" s="301">
        <v>552</v>
      </c>
      <c r="D16" s="301">
        <v>552</v>
      </c>
      <c r="E16" s="299" t="s">
        <v>199</v>
      </c>
      <c r="F16" s="299" t="s">
        <v>196</v>
      </c>
      <c r="G16" s="289"/>
    </row>
    <row r="17" spans="1:7" s="288" customFormat="1" ht="30" x14ac:dyDescent="0.2">
      <c r="A17" s="296">
        <v>3</v>
      </c>
      <c r="B17" s="302" t="s">
        <v>193</v>
      </c>
      <c r="C17" s="301">
        <v>602</v>
      </c>
      <c r="D17" s="301">
        <v>602</v>
      </c>
      <c r="E17" s="299" t="s">
        <v>198</v>
      </c>
      <c r="F17" s="299" t="s">
        <v>197</v>
      </c>
      <c r="G17" s="289"/>
    </row>
    <row r="18" spans="1:7" s="288" customFormat="1" ht="30" x14ac:dyDescent="0.2">
      <c r="A18" s="296">
        <v>4</v>
      </c>
      <c r="B18" s="302" t="s">
        <v>189</v>
      </c>
      <c r="C18" s="301">
        <v>1858</v>
      </c>
      <c r="D18" s="301">
        <v>1858</v>
      </c>
      <c r="E18" s="299" t="s">
        <v>198</v>
      </c>
      <c r="F18" s="299" t="s">
        <v>197</v>
      </c>
      <c r="G18" s="289"/>
    </row>
    <row r="19" spans="1:7" s="288" customFormat="1" ht="30" x14ac:dyDescent="0.2">
      <c r="A19" s="296">
        <v>5</v>
      </c>
      <c r="B19" s="302" t="s">
        <v>190</v>
      </c>
      <c r="C19" s="301">
        <v>941</v>
      </c>
      <c r="D19" s="301">
        <v>941</v>
      </c>
      <c r="E19" s="299" t="s">
        <v>199</v>
      </c>
      <c r="F19" s="299" t="s">
        <v>197</v>
      </c>
      <c r="G19" s="289"/>
    </row>
    <row r="20" spans="1:7" s="288" customFormat="1" ht="30" x14ac:dyDescent="0.2">
      <c r="A20" s="296">
        <v>6</v>
      </c>
      <c r="B20" s="303" t="s">
        <v>191</v>
      </c>
      <c r="C20" s="301">
        <v>1402</v>
      </c>
      <c r="D20" s="301">
        <v>1402</v>
      </c>
      <c r="E20" s="299" t="s">
        <v>196</v>
      </c>
      <c r="F20" s="299" t="s">
        <v>195</v>
      </c>
      <c r="G20" s="289"/>
    </row>
    <row r="21" spans="1:7" s="288" customFormat="1" ht="30" x14ac:dyDescent="0.2">
      <c r="A21" s="296">
        <v>7</v>
      </c>
      <c r="B21" s="303" t="s">
        <v>192</v>
      </c>
      <c r="C21" s="301">
        <v>4096</v>
      </c>
      <c r="D21" s="301">
        <v>4096</v>
      </c>
      <c r="E21" s="299" t="s">
        <v>196</v>
      </c>
      <c r="F21" s="299" t="s">
        <v>194</v>
      </c>
      <c r="G21" s="289"/>
    </row>
    <row r="22" spans="1:7" s="288" customFormat="1" ht="30" x14ac:dyDescent="0.2">
      <c r="A22" s="296">
        <v>8</v>
      </c>
      <c r="B22" s="302" t="s">
        <v>205</v>
      </c>
      <c r="C22" s="301">
        <v>575</v>
      </c>
      <c r="D22" s="301">
        <v>575</v>
      </c>
      <c r="E22" s="299" t="s">
        <v>198</v>
      </c>
      <c r="F22" s="299" t="s">
        <v>197</v>
      </c>
      <c r="G22" s="289"/>
    </row>
    <row r="23" spans="1:7" s="288" customFormat="1" ht="30" x14ac:dyDescent="0.2">
      <c r="A23" s="296">
        <v>9</v>
      </c>
      <c r="B23" s="302" t="s">
        <v>206</v>
      </c>
      <c r="C23" s="301">
        <v>595</v>
      </c>
      <c r="D23" s="301">
        <v>595</v>
      </c>
      <c r="E23" s="299" t="s">
        <v>198</v>
      </c>
      <c r="F23" s="299" t="s">
        <v>197</v>
      </c>
      <c r="G23" s="289"/>
    </row>
    <row r="24" spans="1:7" s="288" customFormat="1" ht="21.75" customHeight="1" x14ac:dyDescent="0.2">
      <c r="A24" s="470" t="s">
        <v>186</v>
      </c>
      <c r="B24" s="470"/>
      <c r="C24" s="304">
        <f>SUM(C15:C23)</f>
        <v>11265</v>
      </c>
      <c r="D24" s="304">
        <f>SUM(D15:D23)</f>
        <v>11265</v>
      </c>
      <c r="E24" s="304" t="s">
        <v>124</v>
      </c>
      <c r="F24" s="304" t="s">
        <v>124</v>
      </c>
    </row>
    <row r="25" spans="1:7" s="288" customFormat="1" ht="15" customHeight="1" x14ac:dyDescent="0.2">
      <c r="A25" s="472" t="s">
        <v>125</v>
      </c>
      <c r="B25" s="473"/>
      <c r="C25" s="473"/>
      <c r="D25" s="473"/>
      <c r="E25" s="473"/>
      <c r="F25" s="473"/>
    </row>
    <row r="26" spans="1:7" s="323" customFormat="1" ht="31.5" customHeight="1" x14ac:dyDescent="0.2">
      <c r="A26" s="296">
        <v>1</v>
      </c>
      <c r="B26" s="305" t="s">
        <v>227</v>
      </c>
      <c r="C26" s="307">
        <v>454</v>
      </c>
      <c r="D26" s="296" t="s">
        <v>124</v>
      </c>
      <c r="E26" s="299" t="s">
        <v>229</v>
      </c>
      <c r="F26" s="299" t="s">
        <v>230</v>
      </c>
      <c r="G26" s="324"/>
    </row>
    <row r="27" spans="1:7" s="323" customFormat="1" ht="30" x14ac:dyDescent="0.2">
      <c r="A27" s="323">
        <v>2</v>
      </c>
      <c r="B27" s="305" t="s">
        <v>228</v>
      </c>
      <c r="C27" s="307">
        <v>570</v>
      </c>
      <c r="D27" s="296" t="s">
        <v>124</v>
      </c>
      <c r="E27" s="299" t="s">
        <v>229</v>
      </c>
      <c r="F27" s="299" t="s">
        <v>230</v>
      </c>
    </row>
    <row r="28" spans="1:7" s="288" customFormat="1" ht="28.5" x14ac:dyDescent="0.2">
      <c r="A28" s="325"/>
      <c r="B28" s="308" t="s">
        <v>132</v>
      </c>
      <c r="C28" s="309">
        <f>SUM(C26:C27)</f>
        <v>1024</v>
      </c>
      <c r="D28" s="294" t="s">
        <v>124</v>
      </c>
      <c r="E28" s="310" t="s">
        <v>124</v>
      </c>
      <c r="F28" s="310" t="s">
        <v>124</v>
      </c>
    </row>
    <row r="29" spans="1:7" s="288" customFormat="1" x14ac:dyDescent="0.2">
      <c r="A29" s="472" t="s">
        <v>231</v>
      </c>
      <c r="B29" s="473"/>
      <c r="C29" s="473"/>
      <c r="D29" s="473"/>
      <c r="E29" s="473"/>
      <c r="F29" s="473"/>
    </row>
    <row r="30" spans="1:7" s="288" customFormat="1" ht="70.5" customHeight="1" x14ac:dyDescent="0.2">
      <c r="A30" s="296">
        <v>1</v>
      </c>
      <c r="B30" s="305" t="s">
        <v>210</v>
      </c>
      <c r="C30" s="306">
        <v>366.4</v>
      </c>
      <c r="D30" s="296" t="s">
        <v>124</v>
      </c>
      <c r="E30" s="299" t="s">
        <v>198</v>
      </c>
      <c r="F30" s="299" t="s">
        <v>196</v>
      </c>
      <c r="G30" s="289"/>
    </row>
    <row r="31" spans="1:7" s="288" customFormat="1" ht="73.5" customHeight="1" x14ac:dyDescent="0.2">
      <c r="A31" s="296">
        <v>2</v>
      </c>
      <c r="B31" s="305" t="s">
        <v>211</v>
      </c>
      <c r="C31" s="306">
        <v>306</v>
      </c>
      <c r="D31" s="296" t="s">
        <v>124</v>
      </c>
      <c r="E31" s="299" t="s">
        <v>198</v>
      </c>
      <c r="F31" s="299" t="s">
        <v>196</v>
      </c>
      <c r="G31" s="289"/>
    </row>
    <row r="32" spans="1:7" s="288" customFormat="1" ht="70.5" customHeight="1" x14ac:dyDescent="0.2">
      <c r="A32" s="296">
        <v>3</v>
      </c>
      <c r="B32" s="305" t="s">
        <v>212</v>
      </c>
      <c r="C32" s="306">
        <v>282.3</v>
      </c>
      <c r="D32" s="296" t="s">
        <v>124</v>
      </c>
      <c r="E32" s="299" t="s">
        <v>198</v>
      </c>
      <c r="F32" s="299" t="s">
        <v>196</v>
      </c>
      <c r="G32" s="289"/>
    </row>
    <row r="33" spans="1:7" s="288" customFormat="1" ht="73.5" customHeight="1" x14ac:dyDescent="0.2">
      <c r="A33" s="296">
        <v>4</v>
      </c>
      <c r="B33" s="305" t="s">
        <v>213</v>
      </c>
      <c r="C33" s="306">
        <v>282.3</v>
      </c>
      <c r="D33" s="296" t="s">
        <v>124</v>
      </c>
      <c r="E33" s="299" t="s">
        <v>198</v>
      </c>
      <c r="F33" s="299" t="s">
        <v>196</v>
      </c>
      <c r="G33" s="289"/>
    </row>
    <row r="34" spans="1:7" s="288" customFormat="1" ht="70.5" customHeight="1" x14ac:dyDescent="0.2">
      <c r="A34" s="296">
        <v>5</v>
      </c>
      <c r="B34" s="305" t="s">
        <v>214</v>
      </c>
      <c r="C34" s="306">
        <v>636</v>
      </c>
      <c r="D34" s="296" t="s">
        <v>124</v>
      </c>
      <c r="E34" s="299" t="s">
        <v>195</v>
      </c>
      <c r="F34" s="299" t="s">
        <v>194</v>
      </c>
      <c r="G34" s="289"/>
    </row>
    <row r="35" spans="1:7" s="288" customFormat="1" ht="72" customHeight="1" x14ac:dyDescent="0.2">
      <c r="A35" s="296">
        <v>6</v>
      </c>
      <c r="B35" s="305" t="s">
        <v>215</v>
      </c>
      <c r="C35" s="306">
        <v>731</v>
      </c>
      <c r="D35" s="296" t="s">
        <v>124</v>
      </c>
      <c r="E35" s="299" t="s">
        <v>195</v>
      </c>
      <c r="F35" s="299" t="s">
        <v>194</v>
      </c>
      <c r="G35" s="289"/>
    </row>
    <row r="36" spans="1:7" s="288" customFormat="1" ht="72.75" customHeight="1" x14ac:dyDescent="0.2">
      <c r="A36" s="296">
        <v>7</v>
      </c>
      <c r="B36" s="305" t="s">
        <v>217</v>
      </c>
      <c r="C36" s="306">
        <v>705</v>
      </c>
      <c r="D36" s="296" t="s">
        <v>124</v>
      </c>
      <c r="E36" s="299" t="s">
        <v>195</v>
      </c>
      <c r="F36" s="299" t="s">
        <v>194</v>
      </c>
      <c r="G36" s="289"/>
    </row>
    <row r="37" spans="1:7" s="288" customFormat="1" ht="85.5" customHeight="1" x14ac:dyDescent="0.2">
      <c r="A37" s="296">
        <v>8</v>
      </c>
      <c r="B37" s="305" t="s">
        <v>216</v>
      </c>
      <c r="C37" s="307">
        <v>630</v>
      </c>
      <c r="D37" s="296" t="s">
        <v>124</v>
      </c>
      <c r="E37" s="299" t="s">
        <v>195</v>
      </c>
      <c r="F37" s="299" t="s">
        <v>194</v>
      </c>
      <c r="G37" s="289"/>
    </row>
    <row r="38" spans="1:7" s="288" customFormat="1" ht="37.5" customHeight="1" x14ac:dyDescent="0.2">
      <c r="A38" s="296">
        <v>9</v>
      </c>
      <c r="B38" s="305" t="s">
        <v>209</v>
      </c>
      <c r="C38" s="307">
        <v>618.44000000000005</v>
      </c>
      <c r="D38" s="296" t="s">
        <v>124</v>
      </c>
      <c r="E38" s="299" t="s">
        <v>197</v>
      </c>
      <c r="F38" s="299" t="s">
        <v>195</v>
      </c>
      <c r="G38" s="289"/>
    </row>
    <row r="39" spans="1:7" s="288" customFormat="1" ht="21.75" customHeight="1" x14ac:dyDescent="0.2">
      <c r="A39" s="296"/>
      <c r="B39" s="308" t="s">
        <v>132</v>
      </c>
      <c r="C39" s="309">
        <f t="shared" ref="C39" si="0">SUM(C30:C38)</f>
        <v>4557.4400000000005</v>
      </c>
      <c r="D39" s="309" t="s">
        <v>124</v>
      </c>
      <c r="E39" s="309" t="s">
        <v>124</v>
      </c>
      <c r="F39" s="309" t="s">
        <v>124</v>
      </c>
    </row>
    <row r="40" spans="1:7" s="288" customFormat="1" x14ac:dyDescent="0.2">
      <c r="A40" s="471" t="s">
        <v>51</v>
      </c>
      <c r="B40" s="471"/>
      <c r="C40" s="471"/>
      <c r="D40" s="471"/>
      <c r="E40" s="471"/>
      <c r="F40" s="471"/>
    </row>
    <row r="41" spans="1:7" s="288" customFormat="1" ht="33" customHeight="1" x14ac:dyDescent="0.2">
      <c r="A41" s="296">
        <v>1</v>
      </c>
      <c r="B41" s="305" t="s">
        <v>233</v>
      </c>
      <c r="C41" s="296">
        <v>264</v>
      </c>
      <c r="D41" s="296" t="s">
        <v>124</v>
      </c>
      <c r="E41" s="299" t="s">
        <v>198</v>
      </c>
      <c r="F41" s="299" t="s">
        <v>194</v>
      </c>
    </row>
    <row r="42" spans="1:7" s="288" customFormat="1" ht="71.25" customHeight="1" x14ac:dyDescent="0.2">
      <c r="A42" s="296">
        <v>2</v>
      </c>
      <c r="B42" s="305" t="s">
        <v>218</v>
      </c>
      <c r="C42" s="306">
        <v>636</v>
      </c>
      <c r="D42" s="311" t="s">
        <v>124</v>
      </c>
      <c r="E42" s="299" t="s">
        <v>185</v>
      </c>
      <c r="F42" s="299" t="s">
        <v>188</v>
      </c>
    </row>
    <row r="43" spans="1:7" s="288" customFormat="1" ht="75" x14ac:dyDescent="0.2">
      <c r="A43" s="296">
        <v>3</v>
      </c>
      <c r="B43" s="305" t="s">
        <v>219</v>
      </c>
      <c r="C43" s="306">
        <v>731</v>
      </c>
      <c r="D43" s="311" t="s">
        <v>124</v>
      </c>
      <c r="E43" s="299" t="s">
        <v>185</v>
      </c>
      <c r="F43" s="299" t="s">
        <v>188</v>
      </c>
    </row>
    <row r="44" spans="1:7" s="288" customFormat="1" ht="75" x14ac:dyDescent="0.2">
      <c r="A44" s="296">
        <v>4</v>
      </c>
      <c r="B44" s="305" t="s">
        <v>220</v>
      </c>
      <c r="C44" s="306">
        <v>705</v>
      </c>
      <c r="D44" s="311" t="s">
        <v>124</v>
      </c>
      <c r="E44" s="299" t="s">
        <v>185</v>
      </c>
      <c r="F44" s="299" t="s">
        <v>188</v>
      </c>
    </row>
    <row r="45" spans="1:7" s="288" customFormat="1" ht="75" x14ac:dyDescent="0.2">
      <c r="A45" s="296">
        <v>5</v>
      </c>
      <c r="B45" s="305" t="s">
        <v>221</v>
      </c>
      <c r="C45" s="307">
        <v>630</v>
      </c>
      <c r="D45" s="311" t="s">
        <v>124</v>
      </c>
      <c r="E45" s="299" t="s">
        <v>185</v>
      </c>
      <c r="F45" s="299" t="s">
        <v>188</v>
      </c>
    </row>
    <row r="46" spans="1:7" s="288" customFormat="1" ht="75" x14ac:dyDescent="0.2">
      <c r="A46" s="296">
        <v>6</v>
      </c>
      <c r="B46" s="305" t="s">
        <v>222</v>
      </c>
      <c r="C46" s="307">
        <v>418.3</v>
      </c>
      <c r="D46" s="311" t="s">
        <v>124</v>
      </c>
      <c r="E46" s="299" t="s">
        <v>197</v>
      </c>
      <c r="F46" s="299" t="s">
        <v>234</v>
      </c>
    </row>
    <row r="47" spans="1:7" s="288" customFormat="1" ht="73.5" customHeight="1" x14ac:dyDescent="0.2">
      <c r="A47" s="296">
        <v>7</v>
      </c>
      <c r="B47" s="305" t="s">
        <v>226</v>
      </c>
      <c r="C47" s="307">
        <v>352</v>
      </c>
      <c r="D47" s="311" t="s">
        <v>124</v>
      </c>
      <c r="E47" s="299" t="s">
        <v>197</v>
      </c>
      <c r="F47" s="299" t="s">
        <v>234</v>
      </c>
    </row>
    <row r="48" spans="1:7" s="288" customFormat="1" ht="30" x14ac:dyDescent="0.2">
      <c r="A48" s="296">
        <v>8</v>
      </c>
      <c r="B48" s="312" t="s">
        <v>223</v>
      </c>
      <c r="C48" s="313">
        <v>438</v>
      </c>
      <c r="D48" s="311" t="s">
        <v>124</v>
      </c>
      <c r="E48" s="322" t="s">
        <v>185</v>
      </c>
      <c r="F48" s="322" t="s">
        <v>188</v>
      </c>
    </row>
    <row r="49" spans="1:6" s="288" customFormat="1" ht="30" x14ac:dyDescent="0.2">
      <c r="A49" s="296">
        <v>9</v>
      </c>
      <c r="B49" s="312" t="s">
        <v>224</v>
      </c>
      <c r="C49" s="313">
        <v>542</v>
      </c>
      <c r="D49" s="311" t="s">
        <v>124</v>
      </c>
      <c r="E49" s="322" t="s">
        <v>185</v>
      </c>
      <c r="F49" s="322" t="s">
        <v>188</v>
      </c>
    </row>
    <row r="50" spans="1:6" s="288" customFormat="1" ht="30" x14ac:dyDescent="0.2">
      <c r="A50" s="296">
        <v>10</v>
      </c>
      <c r="B50" s="314" t="s">
        <v>200</v>
      </c>
      <c r="C50" s="315">
        <v>1730</v>
      </c>
      <c r="D50" s="311" t="s">
        <v>124</v>
      </c>
      <c r="E50" s="322" t="s">
        <v>185</v>
      </c>
      <c r="F50" s="322" t="s">
        <v>188</v>
      </c>
    </row>
    <row r="51" spans="1:6" s="288" customFormat="1" ht="30" x14ac:dyDescent="0.2">
      <c r="A51" s="296">
        <v>11</v>
      </c>
      <c r="B51" s="314" t="s">
        <v>225</v>
      </c>
      <c r="C51" s="313">
        <v>359</v>
      </c>
      <c r="D51" s="311" t="s">
        <v>124</v>
      </c>
      <c r="E51" s="322" t="s">
        <v>185</v>
      </c>
      <c r="F51" s="322" t="s">
        <v>198</v>
      </c>
    </row>
    <row r="52" spans="1:6" s="288" customFormat="1" ht="30" x14ac:dyDescent="0.2">
      <c r="A52" s="296">
        <v>12</v>
      </c>
      <c r="B52" s="312" t="s">
        <v>201</v>
      </c>
      <c r="C52" s="313">
        <v>4292</v>
      </c>
      <c r="D52" s="311" t="s">
        <v>124</v>
      </c>
      <c r="E52" s="322" t="s">
        <v>185</v>
      </c>
      <c r="F52" s="322" t="s">
        <v>198</v>
      </c>
    </row>
    <row r="53" spans="1:6" s="288" customFormat="1" ht="31.5" customHeight="1" x14ac:dyDescent="0.2">
      <c r="A53" s="296">
        <v>13</v>
      </c>
      <c r="B53" s="312" t="s">
        <v>235</v>
      </c>
      <c r="C53" s="313">
        <v>756</v>
      </c>
      <c r="D53" s="311" t="s">
        <v>124</v>
      </c>
      <c r="E53" s="299" t="s">
        <v>236</v>
      </c>
      <c r="F53" s="299" t="s">
        <v>229</v>
      </c>
    </row>
    <row r="54" spans="1:6" s="288" customFormat="1" ht="30" x14ac:dyDescent="0.2">
      <c r="A54" s="296">
        <v>14</v>
      </c>
      <c r="B54" s="312" t="s">
        <v>202</v>
      </c>
      <c r="C54" s="313">
        <v>4130</v>
      </c>
      <c r="D54" s="311" t="s">
        <v>124</v>
      </c>
      <c r="E54" s="322" t="s">
        <v>185</v>
      </c>
      <c r="F54" s="322" t="s">
        <v>198</v>
      </c>
    </row>
    <row r="55" spans="1:6" s="288" customFormat="1" ht="15" customHeight="1" x14ac:dyDescent="0.2">
      <c r="A55" s="470" t="s">
        <v>126</v>
      </c>
      <c r="B55" s="470"/>
      <c r="C55" s="304">
        <f>SUM(C48:C54)</f>
        <v>12247</v>
      </c>
      <c r="D55" s="316" t="s">
        <v>124</v>
      </c>
      <c r="E55" s="294" t="s">
        <v>124</v>
      </c>
      <c r="F55" s="294" t="s">
        <v>124</v>
      </c>
    </row>
    <row r="56" spans="1:6" s="148" customFormat="1" x14ac:dyDescent="0.25">
      <c r="A56" s="290"/>
      <c r="B56" s="290"/>
      <c r="C56" s="290"/>
      <c r="D56" s="290"/>
      <c r="E56" s="290"/>
      <c r="F56" s="290"/>
    </row>
    <row r="57" spans="1:6" s="148" customFormat="1" x14ac:dyDescent="0.25">
      <c r="A57" s="290"/>
      <c r="B57" s="290"/>
      <c r="C57" s="290"/>
      <c r="D57" s="290"/>
      <c r="E57" s="290"/>
      <c r="F57" s="290"/>
    </row>
    <row r="58" spans="1:6" s="148" customFormat="1" x14ac:dyDescent="0.25">
      <c r="A58" s="290"/>
      <c r="B58" s="290"/>
      <c r="C58" s="290"/>
      <c r="D58" s="290"/>
      <c r="E58" s="290"/>
      <c r="F58" s="290"/>
    </row>
    <row r="59" spans="1:6" s="148" customFormat="1" x14ac:dyDescent="0.25">
      <c r="A59" s="290"/>
      <c r="B59" s="290"/>
      <c r="C59" s="290"/>
      <c r="D59" s="290"/>
      <c r="E59" s="290"/>
      <c r="F59" s="290"/>
    </row>
    <row r="60" spans="1:6" s="148" customFormat="1" x14ac:dyDescent="0.25">
      <c r="A60" s="290"/>
      <c r="B60" s="290"/>
      <c r="C60" s="290"/>
      <c r="D60" s="290"/>
      <c r="E60" s="290"/>
      <c r="F60" s="290"/>
    </row>
    <row r="61" spans="1:6" s="148" customFormat="1" x14ac:dyDescent="0.25">
      <c r="A61" s="290"/>
      <c r="B61" s="290"/>
      <c r="C61" s="290"/>
      <c r="D61" s="290"/>
      <c r="E61" s="290"/>
      <c r="F61" s="290"/>
    </row>
    <row r="62" spans="1:6" s="148" customFormat="1" x14ac:dyDescent="0.25">
      <c r="A62" s="290"/>
      <c r="B62" s="290"/>
      <c r="C62" s="290"/>
      <c r="D62" s="290"/>
      <c r="E62" s="290"/>
      <c r="F62" s="290"/>
    </row>
    <row r="63" spans="1:6" s="148" customFormat="1" x14ac:dyDescent="0.25">
      <c r="A63" s="290"/>
      <c r="B63" s="290"/>
      <c r="C63" s="290"/>
      <c r="D63" s="290"/>
      <c r="E63" s="290"/>
      <c r="F63" s="290"/>
    </row>
    <row r="64" spans="1:6" s="148" customFormat="1" x14ac:dyDescent="0.25">
      <c r="A64" s="290"/>
      <c r="B64" s="290"/>
      <c r="C64" s="290"/>
      <c r="D64" s="290"/>
      <c r="E64" s="290"/>
      <c r="F64" s="290"/>
    </row>
    <row r="65" spans="1:6" s="148" customFormat="1" x14ac:dyDescent="0.25">
      <c r="A65" s="290"/>
      <c r="B65" s="290"/>
      <c r="C65" s="290"/>
      <c r="D65" s="290"/>
      <c r="E65" s="290"/>
      <c r="F65" s="290"/>
    </row>
    <row r="66" spans="1:6" s="148" customFormat="1" x14ac:dyDescent="0.25">
      <c r="A66" s="290"/>
      <c r="B66" s="290"/>
      <c r="C66" s="290"/>
      <c r="D66" s="290"/>
      <c r="E66" s="290"/>
      <c r="F66" s="290"/>
    </row>
    <row r="67" spans="1:6" s="148" customFormat="1" x14ac:dyDescent="0.25">
      <c r="A67" s="290"/>
      <c r="B67" s="290"/>
      <c r="C67" s="290"/>
      <c r="D67" s="290"/>
      <c r="E67" s="290"/>
      <c r="F67" s="290"/>
    </row>
    <row r="68" spans="1:6" s="148" customFormat="1" x14ac:dyDescent="0.25">
      <c r="A68" s="290"/>
      <c r="B68" s="290"/>
      <c r="C68" s="290"/>
      <c r="D68" s="290"/>
      <c r="E68" s="290"/>
      <c r="F68" s="290"/>
    </row>
    <row r="69" spans="1:6" s="148" customFormat="1" x14ac:dyDescent="0.25">
      <c r="A69" s="290"/>
      <c r="B69" s="290"/>
      <c r="C69" s="290"/>
      <c r="D69" s="290"/>
      <c r="E69" s="290"/>
      <c r="F69" s="290"/>
    </row>
    <row r="70" spans="1:6" s="148" customFormat="1" x14ac:dyDescent="0.25">
      <c r="A70" s="290"/>
      <c r="B70" s="290"/>
      <c r="C70" s="290"/>
      <c r="D70" s="290"/>
      <c r="E70" s="290"/>
      <c r="F70" s="290"/>
    </row>
    <row r="71" spans="1:6" s="148" customFormat="1" x14ac:dyDescent="0.25">
      <c r="A71" s="290"/>
      <c r="B71" s="290"/>
      <c r="C71" s="290"/>
      <c r="D71" s="290"/>
      <c r="E71" s="290"/>
      <c r="F71" s="290"/>
    </row>
    <row r="72" spans="1:6" s="148" customFormat="1" x14ac:dyDescent="0.25">
      <c r="A72" s="290"/>
      <c r="B72" s="290"/>
      <c r="C72" s="290"/>
      <c r="D72" s="290"/>
      <c r="E72" s="290"/>
      <c r="F72" s="290"/>
    </row>
  </sheetData>
  <mergeCells count="13">
    <mergeCell ref="A55:B55"/>
    <mergeCell ref="A40:F40"/>
    <mergeCell ref="A14:F14"/>
    <mergeCell ref="A24:B24"/>
    <mergeCell ref="A25:F25"/>
    <mergeCell ref="A29:F29"/>
    <mergeCell ref="C2:E2"/>
    <mergeCell ref="A8:A12"/>
    <mergeCell ref="B8:B12"/>
    <mergeCell ref="C8:C12"/>
    <mergeCell ref="D8:D12"/>
    <mergeCell ref="E8:F9"/>
    <mergeCell ref="C3:E3"/>
  </mergeCells>
  <pageMargins left="0.25" right="0.25" top="0.75" bottom="0.75" header="0.3" footer="0.3"/>
  <pageSetup paperSize="9" scale="65" orientation="landscape" r:id="rId1"/>
  <rowBreaks count="1" manualBreakCount="1">
    <brk id="24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3"/>
  <sheetViews>
    <sheetView workbookViewId="0">
      <selection activeCell="O28" sqref="O28"/>
    </sheetView>
  </sheetViews>
  <sheetFormatPr defaultRowHeight="12.75" x14ac:dyDescent="0.2"/>
  <cols>
    <col min="1" max="1" width="3.85546875" style="17" customWidth="1"/>
    <col min="2" max="2" width="24.140625" style="17" customWidth="1"/>
    <col min="3" max="3" width="6.85546875" style="17" customWidth="1"/>
    <col min="4" max="5" width="8.42578125" style="17" customWidth="1"/>
    <col min="6" max="6" width="8.7109375" style="17" customWidth="1"/>
    <col min="7" max="7" width="11.7109375" style="17" bestFit="1" customWidth="1"/>
    <col min="8" max="8" width="10.140625" style="17" bestFit="1" customWidth="1"/>
    <col min="9" max="11" width="9.140625" style="17"/>
    <col min="12" max="12" width="7.5703125" style="17" customWidth="1"/>
    <col min="13" max="13" width="0.7109375" style="17" hidden="1" customWidth="1"/>
    <col min="14" max="14" width="16" style="17" customWidth="1"/>
  </cols>
  <sheetData>
    <row r="1" spans="1:21" s="148" customFormat="1" ht="12.75" customHeight="1" x14ac:dyDescent="0.2">
      <c r="A1" s="476" t="s">
        <v>4</v>
      </c>
      <c r="B1" s="476" t="s">
        <v>14</v>
      </c>
      <c r="C1" s="484" t="s">
        <v>174</v>
      </c>
      <c r="D1" s="484" t="s">
        <v>175</v>
      </c>
      <c r="E1" s="476" t="s">
        <v>17</v>
      </c>
      <c r="F1" s="476"/>
      <c r="G1" s="478" t="s">
        <v>138</v>
      </c>
      <c r="H1" s="479"/>
      <c r="I1" s="476" t="s">
        <v>139</v>
      </c>
      <c r="J1" s="476"/>
      <c r="K1" s="476"/>
      <c r="L1" s="476"/>
      <c r="M1" s="476"/>
      <c r="N1" s="476" t="s">
        <v>140</v>
      </c>
    </row>
    <row r="2" spans="1:21" s="148" customFormat="1" ht="22.5" customHeight="1" x14ac:dyDescent="0.2">
      <c r="A2" s="476"/>
      <c r="B2" s="476"/>
      <c r="C2" s="485"/>
      <c r="D2" s="485"/>
      <c r="E2" s="476"/>
      <c r="F2" s="476"/>
      <c r="G2" s="480"/>
      <c r="H2" s="481"/>
      <c r="I2" s="476"/>
      <c r="J2" s="476"/>
      <c r="K2" s="476"/>
      <c r="L2" s="476"/>
      <c r="M2" s="476"/>
      <c r="N2" s="476"/>
    </row>
    <row r="3" spans="1:21" s="148" customFormat="1" ht="11.25" customHeight="1" x14ac:dyDescent="0.2">
      <c r="A3" s="476"/>
      <c r="B3" s="476"/>
      <c r="C3" s="485"/>
      <c r="D3" s="485"/>
      <c r="E3" s="265" t="s">
        <v>20</v>
      </c>
      <c r="F3" s="265" t="s">
        <v>21</v>
      </c>
      <c r="G3" s="482"/>
      <c r="H3" s="483"/>
      <c r="I3" s="476"/>
      <c r="J3" s="476"/>
      <c r="K3" s="476"/>
      <c r="L3" s="476"/>
      <c r="M3" s="476"/>
      <c r="N3" s="476"/>
    </row>
    <row r="4" spans="1:21" s="148" customFormat="1" ht="25.5" x14ac:dyDescent="0.2">
      <c r="A4" s="476"/>
      <c r="B4" s="476"/>
      <c r="C4" s="486"/>
      <c r="D4" s="486"/>
      <c r="E4" s="265" t="s">
        <v>141</v>
      </c>
      <c r="F4" s="265" t="s">
        <v>141</v>
      </c>
      <c r="G4" s="265" t="s">
        <v>24</v>
      </c>
      <c r="H4" s="265" t="s">
        <v>172</v>
      </c>
      <c r="I4" s="476"/>
      <c r="J4" s="476"/>
      <c r="K4" s="476"/>
      <c r="L4" s="476"/>
      <c r="M4" s="476"/>
      <c r="N4" s="476"/>
    </row>
    <row r="5" spans="1:21" s="148" customFormat="1" x14ac:dyDescent="0.2">
      <c r="A5" s="272">
        <v>1</v>
      </c>
      <c r="B5" s="272">
        <v>2</v>
      </c>
      <c r="C5" s="275">
        <v>3</v>
      </c>
      <c r="D5" s="275"/>
      <c r="E5" s="272">
        <v>4</v>
      </c>
      <c r="F5" s="272">
        <v>5</v>
      </c>
      <c r="G5" s="272"/>
      <c r="H5" s="272">
        <v>6</v>
      </c>
      <c r="I5" s="477">
        <v>7</v>
      </c>
      <c r="J5" s="477"/>
      <c r="K5" s="477"/>
      <c r="L5" s="477"/>
      <c r="M5" s="477"/>
      <c r="N5" s="272">
        <v>8</v>
      </c>
    </row>
    <row r="6" spans="1:21" s="148" customFormat="1" ht="65.25" customHeight="1" x14ac:dyDescent="0.2">
      <c r="A6" s="272">
        <v>1</v>
      </c>
      <c r="B6" s="273" t="s">
        <v>133</v>
      </c>
      <c r="C6" s="277">
        <v>2.5</v>
      </c>
      <c r="D6" s="278">
        <v>450</v>
      </c>
      <c r="E6" s="259" t="s">
        <v>136</v>
      </c>
      <c r="F6" s="259" t="s">
        <v>150</v>
      </c>
      <c r="G6" s="258">
        <v>295530</v>
      </c>
      <c r="H6" s="275"/>
      <c r="I6" s="474" t="s">
        <v>148</v>
      </c>
      <c r="J6" s="474"/>
      <c r="K6" s="474"/>
      <c r="L6" s="474"/>
      <c r="M6" s="474"/>
      <c r="N6" s="257" t="s">
        <v>164</v>
      </c>
    </row>
    <row r="7" spans="1:21" s="148" customFormat="1" ht="64.5" customHeight="1" x14ac:dyDescent="0.2">
      <c r="A7" s="272">
        <v>2</v>
      </c>
      <c r="B7" s="266" t="s">
        <v>130</v>
      </c>
      <c r="C7" s="277">
        <v>2.5</v>
      </c>
      <c r="D7" s="278">
        <v>450</v>
      </c>
      <c r="E7" s="259" t="s">
        <v>136</v>
      </c>
      <c r="F7" s="259" t="s">
        <v>171</v>
      </c>
      <c r="G7" s="258">
        <v>241334</v>
      </c>
      <c r="H7" s="275"/>
      <c r="I7" s="474" t="s">
        <v>148</v>
      </c>
      <c r="J7" s="474"/>
      <c r="K7" s="474"/>
      <c r="L7" s="474"/>
      <c r="M7" s="474"/>
      <c r="N7" s="257" t="s">
        <v>142</v>
      </c>
    </row>
    <row r="8" spans="1:21" s="148" customFormat="1" ht="76.5" customHeight="1" x14ac:dyDescent="0.2">
      <c r="A8" s="272">
        <v>3</v>
      </c>
      <c r="B8" s="266" t="s">
        <v>143</v>
      </c>
      <c r="C8" s="276">
        <v>2.5</v>
      </c>
      <c r="D8" s="258">
        <v>569.79999999999995</v>
      </c>
      <c r="E8" s="259" t="s">
        <v>153</v>
      </c>
      <c r="F8" s="259" t="s">
        <v>137</v>
      </c>
      <c r="G8" s="259"/>
      <c r="H8" s="258">
        <v>132804</v>
      </c>
      <c r="I8" s="474" t="s">
        <v>145</v>
      </c>
      <c r="J8" s="474"/>
      <c r="K8" s="474"/>
      <c r="L8" s="474"/>
      <c r="M8" s="474"/>
      <c r="N8" s="257" t="s">
        <v>164</v>
      </c>
    </row>
    <row r="9" spans="1:21" s="148" customFormat="1" ht="60.75" customHeight="1" x14ac:dyDescent="0.2">
      <c r="A9" s="272">
        <v>4</v>
      </c>
      <c r="B9" s="266" t="s">
        <v>131</v>
      </c>
      <c r="C9" s="277">
        <v>2.5</v>
      </c>
      <c r="D9" s="274">
        <v>447</v>
      </c>
      <c r="E9" s="259" t="s">
        <v>151</v>
      </c>
      <c r="F9" s="259" t="s">
        <v>152</v>
      </c>
      <c r="G9" s="264">
        <v>224618</v>
      </c>
      <c r="H9" s="275"/>
      <c r="I9" s="474" t="s">
        <v>168</v>
      </c>
      <c r="J9" s="474"/>
      <c r="K9" s="474"/>
      <c r="L9" s="474"/>
      <c r="M9" s="474"/>
      <c r="N9" s="257" t="s">
        <v>142</v>
      </c>
    </row>
    <row r="10" spans="1:21" s="148" customFormat="1" ht="63" customHeight="1" x14ac:dyDescent="0.2">
      <c r="A10" s="272">
        <v>5</v>
      </c>
      <c r="B10" s="266" t="s">
        <v>167</v>
      </c>
      <c r="C10" s="276">
        <v>3.5</v>
      </c>
      <c r="D10" s="261">
        <v>2188</v>
      </c>
      <c r="E10" s="259" t="s">
        <v>137</v>
      </c>
      <c r="F10" s="259" t="s">
        <v>135</v>
      </c>
      <c r="G10" s="258">
        <v>1203377</v>
      </c>
      <c r="H10" s="275"/>
      <c r="I10" s="474" t="s">
        <v>146</v>
      </c>
      <c r="J10" s="474"/>
      <c r="K10" s="474"/>
      <c r="L10" s="474"/>
      <c r="M10" s="474"/>
      <c r="N10" s="257" t="s">
        <v>142</v>
      </c>
    </row>
    <row r="11" spans="1:21" s="148" customFormat="1" ht="53.25" customHeight="1" x14ac:dyDescent="0.2">
      <c r="A11" s="272">
        <v>6</v>
      </c>
      <c r="B11" s="266" t="s">
        <v>165</v>
      </c>
      <c r="C11" s="277">
        <v>2.5</v>
      </c>
      <c r="D11" s="263">
        <v>592</v>
      </c>
      <c r="E11" s="259" t="s">
        <v>137</v>
      </c>
      <c r="F11" s="259" t="s">
        <v>135</v>
      </c>
      <c r="G11" s="259"/>
      <c r="H11" s="258">
        <v>154974</v>
      </c>
      <c r="I11" s="474" t="s">
        <v>169</v>
      </c>
      <c r="J11" s="474"/>
      <c r="K11" s="474"/>
      <c r="L11" s="474"/>
      <c r="M11" s="474"/>
      <c r="N11" s="257" t="s">
        <v>142</v>
      </c>
    </row>
    <row r="12" spans="1:21" s="148" customFormat="1" ht="59.25" customHeight="1" x14ac:dyDescent="0.2">
      <c r="A12" s="271">
        <v>7</v>
      </c>
      <c r="B12" s="266" t="s">
        <v>166</v>
      </c>
      <c r="C12" s="277">
        <v>2.5</v>
      </c>
      <c r="D12" s="257">
        <v>636.70000000000005</v>
      </c>
      <c r="E12" s="259" t="s">
        <v>135</v>
      </c>
      <c r="F12" s="259" t="s">
        <v>149</v>
      </c>
      <c r="G12" s="259"/>
      <c r="H12" s="258">
        <v>292056</v>
      </c>
      <c r="I12" s="474" t="s">
        <v>169</v>
      </c>
      <c r="J12" s="474"/>
      <c r="K12" s="474"/>
      <c r="L12" s="474"/>
      <c r="M12" s="474"/>
      <c r="N12" s="257" t="s">
        <v>142</v>
      </c>
    </row>
    <row r="13" spans="1:21" s="148" customFormat="1" ht="45.75" customHeight="1" x14ac:dyDescent="0.2">
      <c r="A13" s="271">
        <v>8</v>
      </c>
      <c r="B13" s="266" t="s">
        <v>128</v>
      </c>
      <c r="C13" s="277">
        <v>2</v>
      </c>
      <c r="D13" s="258">
        <v>400.54</v>
      </c>
      <c r="E13" s="259" t="s">
        <v>150</v>
      </c>
      <c r="F13" s="259" t="s">
        <v>173</v>
      </c>
      <c r="G13" s="258">
        <v>407376</v>
      </c>
      <c r="H13" s="258"/>
      <c r="I13" s="474" t="s">
        <v>147</v>
      </c>
      <c r="J13" s="474"/>
      <c r="K13" s="474"/>
      <c r="L13" s="474"/>
      <c r="M13" s="474"/>
      <c r="N13" s="257" t="s">
        <v>164</v>
      </c>
      <c r="O13" s="475"/>
      <c r="P13" s="475"/>
      <c r="Q13" s="475"/>
      <c r="R13" s="475"/>
      <c r="S13" s="475"/>
      <c r="T13" s="475"/>
      <c r="U13" s="475"/>
    </row>
    <row r="14" spans="1:21" s="148" customFormat="1" ht="60" customHeight="1" x14ac:dyDescent="0.2">
      <c r="A14" s="271">
        <v>9</v>
      </c>
      <c r="B14" s="266" t="s">
        <v>134</v>
      </c>
      <c r="C14" s="276">
        <v>3.5</v>
      </c>
      <c r="D14" s="279">
        <v>3962</v>
      </c>
      <c r="E14" s="259" t="s">
        <v>150</v>
      </c>
      <c r="F14" s="259" t="s">
        <v>149</v>
      </c>
      <c r="G14" s="267">
        <v>976150</v>
      </c>
      <c r="H14" s="275"/>
      <c r="I14" s="474" t="s">
        <v>144</v>
      </c>
      <c r="J14" s="474"/>
      <c r="K14" s="474"/>
      <c r="L14" s="474"/>
      <c r="M14" s="474"/>
      <c r="N14" s="257" t="s">
        <v>170</v>
      </c>
    </row>
    <row r="15" spans="1:21" x14ac:dyDescent="0.2">
      <c r="D15" s="281">
        <f>SUM(D6:D14)</f>
        <v>9696.0400000000009</v>
      </c>
      <c r="G15" s="282">
        <f>SUM(G6:G14)</f>
        <v>3348385</v>
      </c>
      <c r="H15" s="282">
        <f>SUM(H6:H14)</f>
        <v>579834</v>
      </c>
    </row>
    <row r="16" spans="1:21" x14ac:dyDescent="0.2">
      <c r="B16" s="287" t="s">
        <v>181</v>
      </c>
    </row>
    <row r="17" spans="2:14" ht="63.75" x14ac:dyDescent="0.2">
      <c r="B17" s="266" t="s">
        <v>176</v>
      </c>
      <c r="C17" s="283">
        <v>0.5</v>
      </c>
      <c r="D17" s="280">
        <v>250</v>
      </c>
      <c r="E17" s="259" t="s">
        <v>137</v>
      </c>
      <c r="F17" s="259" t="s">
        <v>137</v>
      </c>
      <c r="G17" s="284"/>
      <c r="H17" s="283">
        <v>32056</v>
      </c>
      <c r="I17" s="284"/>
      <c r="J17" s="284"/>
      <c r="K17" s="284"/>
      <c r="L17" s="284"/>
      <c r="M17" s="284"/>
      <c r="N17" s="284"/>
    </row>
    <row r="18" spans="2:14" ht="63.75" x14ac:dyDescent="0.2">
      <c r="B18" s="266" t="s">
        <v>177</v>
      </c>
      <c r="C18" s="283">
        <v>0.5</v>
      </c>
      <c r="D18" s="280">
        <v>246</v>
      </c>
      <c r="E18" s="259" t="s">
        <v>137</v>
      </c>
      <c r="F18" s="259" t="s">
        <v>137</v>
      </c>
      <c r="G18" s="284"/>
      <c r="H18" s="283">
        <v>30176</v>
      </c>
      <c r="I18" s="284"/>
      <c r="J18" s="284"/>
      <c r="K18" s="284"/>
      <c r="L18" s="284"/>
      <c r="M18" s="284"/>
      <c r="N18" s="284"/>
    </row>
    <row r="19" spans="2:14" ht="63.75" x14ac:dyDescent="0.2">
      <c r="B19" s="266" t="s">
        <v>178</v>
      </c>
      <c r="C19" s="283">
        <v>0.5</v>
      </c>
      <c r="D19" s="280">
        <v>243</v>
      </c>
      <c r="E19" s="259" t="s">
        <v>137</v>
      </c>
      <c r="F19" s="259" t="s">
        <v>137</v>
      </c>
      <c r="G19" s="284"/>
      <c r="H19" s="283">
        <v>31973</v>
      </c>
      <c r="I19" s="284"/>
      <c r="J19" s="284"/>
      <c r="K19" s="284"/>
      <c r="L19" s="284"/>
      <c r="M19" s="284"/>
      <c r="N19" s="284"/>
    </row>
    <row r="20" spans="2:14" ht="63.75" x14ac:dyDescent="0.2">
      <c r="B20" s="266" t="s">
        <v>179</v>
      </c>
      <c r="C20" s="283">
        <v>0.5</v>
      </c>
      <c r="D20" s="280">
        <v>243</v>
      </c>
      <c r="E20" s="259" t="s">
        <v>137</v>
      </c>
      <c r="F20" s="259" t="s">
        <v>137</v>
      </c>
      <c r="G20" s="284"/>
      <c r="H20" s="283">
        <v>31778</v>
      </c>
      <c r="I20" s="284"/>
      <c r="J20" s="284"/>
      <c r="K20" s="284"/>
      <c r="L20" s="284"/>
      <c r="M20" s="284"/>
      <c r="N20" s="284"/>
    </row>
    <row r="21" spans="2:14" x14ac:dyDescent="0.2">
      <c r="H21" s="285">
        <f>SUM(H17:H20)</f>
        <v>125983</v>
      </c>
    </row>
    <row r="22" spans="2:14" x14ac:dyDescent="0.2">
      <c r="B22" s="287" t="s">
        <v>182</v>
      </c>
      <c r="H22" s="285"/>
    </row>
    <row r="23" spans="2:14" ht="63.75" x14ac:dyDescent="0.2">
      <c r="B23" s="268" t="s">
        <v>163</v>
      </c>
      <c r="C23" s="284"/>
      <c r="D23" s="262">
        <v>552</v>
      </c>
      <c r="E23" s="259" t="s">
        <v>180</v>
      </c>
      <c r="F23" s="259" t="s">
        <v>137</v>
      </c>
      <c r="G23" s="258">
        <v>30000</v>
      </c>
      <c r="H23" s="284"/>
      <c r="I23" s="284"/>
      <c r="J23" s="284"/>
      <c r="K23" s="284"/>
      <c r="L23" s="284"/>
      <c r="M23" s="284"/>
      <c r="N23" s="284" t="s">
        <v>183</v>
      </c>
    </row>
    <row r="24" spans="2:14" ht="63.75" x14ac:dyDescent="0.2">
      <c r="B24" s="269" t="s">
        <v>162</v>
      </c>
      <c r="C24" s="284"/>
      <c r="D24" s="262">
        <v>538</v>
      </c>
      <c r="E24" s="259" t="s">
        <v>137</v>
      </c>
      <c r="F24" s="259" t="s">
        <v>135</v>
      </c>
      <c r="G24" s="258">
        <v>30000</v>
      </c>
      <c r="H24" s="284"/>
      <c r="I24" s="284"/>
      <c r="J24" s="284"/>
      <c r="K24" s="284"/>
      <c r="L24" s="284"/>
      <c r="M24" s="284"/>
      <c r="N24" s="284"/>
    </row>
    <row r="25" spans="2:14" ht="51" x14ac:dyDescent="0.2">
      <c r="B25" s="269" t="s">
        <v>161</v>
      </c>
      <c r="C25" s="284"/>
      <c r="D25" s="262">
        <v>1078</v>
      </c>
      <c r="E25" s="259" t="s">
        <v>180</v>
      </c>
      <c r="F25" s="259" t="s">
        <v>137</v>
      </c>
      <c r="G25" s="258">
        <v>30000</v>
      </c>
      <c r="H25" s="284"/>
      <c r="I25" s="284"/>
      <c r="J25" s="284"/>
      <c r="K25" s="284"/>
      <c r="L25" s="284"/>
      <c r="M25" s="284"/>
      <c r="N25" s="284" t="s">
        <v>184</v>
      </c>
    </row>
    <row r="26" spans="2:14" ht="51" x14ac:dyDescent="0.2">
      <c r="B26" s="269" t="s">
        <v>160</v>
      </c>
      <c r="C26" s="284"/>
      <c r="D26" s="262">
        <v>547</v>
      </c>
      <c r="E26" s="259" t="s">
        <v>180</v>
      </c>
      <c r="F26" s="259" t="s">
        <v>137</v>
      </c>
      <c r="G26" s="258">
        <v>30000</v>
      </c>
      <c r="H26" s="284"/>
      <c r="I26" s="284"/>
      <c r="J26" s="284"/>
      <c r="K26" s="284"/>
      <c r="L26" s="284"/>
      <c r="M26" s="284"/>
      <c r="N26" s="284" t="s">
        <v>184</v>
      </c>
    </row>
    <row r="27" spans="2:14" ht="63.75" x14ac:dyDescent="0.2">
      <c r="B27" s="269" t="s">
        <v>159</v>
      </c>
      <c r="C27" s="284"/>
      <c r="D27" s="262">
        <v>376.4</v>
      </c>
      <c r="E27" s="259" t="s">
        <v>180</v>
      </c>
      <c r="F27" s="259" t="s">
        <v>137</v>
      </c>
      <c r="G27" s="258">
        <v>30000</v>
      </c>
      <c r="H27" s="284"/>
      <c r="I27" s="284"/>
      <c r="J27" s="284"/>
      <c r="K27" s="284"/>
      <c r="L27" s="284"/>
      <c r="M27" s="284"/>
      <c r="N27" s="284" t="s">
        <v>184</v>
      </c>
    </row>
    <row r="28" spans="2:14" ht="63.75" x14ac:dyDescent="0.2">
      <c r="B28" s="269" t="s">
        <v>158</v>
      </c>
      <c r="C28" s="284"/>
      <c r="D28" s="262">
        <v>356</v>
      </c>
      <c r="E28" s="259" t="s">
        <v>180</v>
      </c>
      <c r="F28" s="259" t="s">
        <v>137</v>
      </c>
      <c r="G28" s="258">
        <v>30000</v>
      </c>
      <c r="H28" s="284"/>
      <c r="I28" s="284"/>
      <c r="J28" s="284"/>
      <c r="K28" s="284"/>
      <c r="L28" s="284"/>
      <c r="M28" s="284"/>
      <c r="N28" s="284" t="s">
        <v>183</v>
      </c>
    </row>
    <row r="29" spans="2:14" ht="63.75" x14ac:dyDescent="0.2">
      <c r="B29" s="270" t="s">
        <v>157</v>
      </c>
      <c r="C29" s="284"/>
      <c r="D29" s="262">
        <v>1402</v>
      </c>
      <c r="E29" s="259" t="s">
        <v>137</v>
      </c>
      <c r="F29" s="259" t="s">
        <v>135</v>
      </c>
      <c r="G29" s="258">
        <v>30000</v>
      </c>
      <c r="H29" s="284"/>
      <c r="I29" s="284"/>
      <c r="J29" s="284"/>
      <c r="K29" s="284"/>
      <c r="L29" s="284"/>
      <c r="M29" s="284"/>
      <c r="N29" s="284" t="s">
        <v>183</v>
      </c>
    </row>
    <row r="30" spans="2:14" ht="51" x14ac:dyDescent="0.2">
      <c r="B30" s="270" t="s">
        <v>156</v>
      </c>
      <c r="C30" s="284"/>
      <c r="D30" s="262">
        <v>4096.34</v>
      </c>
      <c r="E30" s="259" t="s">
        <v>137</v>
      </c>
      <c r="F30" s="259" t="s">
        <v>135</v>
      </c>
      <c r="G30" s="258">
        <v>30000</v>
      </c>
      <c r="H30" s="284"/>
      <c r="I30" s="284"/>
      <c r="J30" s="284"/>
      <c r="K30" s="284"/>
      <c r="L30" s="284"/>
      <c r="M30" s="284"/>
      <c r="N30" s="284"/>
    </row>
    <row r="31" spans="2:14" ht="51" x14ac:dyDescent="0.2">
      <c r="B31" s="260" t="s">
        <v>155</v>
      </c>
      <c r="C31" s="284"/>
      <c r="D31" s="262">
        <v>438</v>
      </c>
      <c r="E31" s="259" t="s">
        <v>137</v>
      </c>
      <c r="F31" s="259" t="s">
        <v>135</v>
      </c>
      <c r="G31" s="258">
        <v>30000</v>
      </c>
      <c r="H31" s="284"/>
      <c r="I31" s="284"/>
      <c r="J31" s="284"/>
      <c r="K31" s="284"/>
      <c r="L31" s="284"/>
      <c r="M31" s="284"/>
      <c r="N31" s="284"/>
    </row>
    <row r="32" spans="2:14" ht="51" x14ac:dyDescent="0.2">
      <c r="B32" s="269" t="s">
        <v>154</v>
      </c>
      <c r="C32" s="284"/>
      <c r="D32" s="262">
        <v>542</v>
      </c>
      <c r="E32" s="259" t="s">
        <v>137</v>
      </c>
      <c r="F32" s="259" t="s">
        <v>135</v>
      </c>
      <c r="G32" s="258">
        <f t="shared" ref="G32" si="0">I32+J32</f>
        <v>0</v>
      </c>
      <c r="H32" s="258">
        <v>29000</v>
      </c>
      <c r="I32" s="284"/>
      <c r="J32" s="284"/>
      <c r="K32" s="284"/>
      <c r="L32" s="284"/>
      <c r="M32" s="284"/>
      <c r="N32" s="284"/>
    </row>
    <row r="33" spans="4:8" x14ac:dyDescent="0.2">
      <c r="D33" s="286">
        <f>SUM(D23:D32)</f>
        <v>9925.74</v>
      </c>
      <c r="G33" s="282">
        <f>SUM(G23:G32)</f>
        <v>270000</v>
      </c>
      <c r="H33" s="282">
        <f>SUM(H23:H32)</f>
        <v>29000</v>
      </c>
    </row>
  </sheetData>
  <mergeCells count="21">
    <mergeCell ref="C1:C4"/>
    <mergeCell ref="A1:A4"/>
    <mergeCell ref="B1:B4"/>
    <mergeCell ref="E1:F2"/>
    <mergeCell ref="I1:M4"/>
    <mergeCell ref="D1:D4"/>
    <mergeCell ref="T13:U13"/>
    <mergeCell ref="N1:N4"/>
    <mergeCell ref="I5:M5"/>
    <mergeCell ref="I12:M12"/>
    <mergeCell ref="G1:H3"/>
    <mergeCell ref="I7:M7"/>
    <mergeCell ref="I9:M9"/>
    <mergeCell ref="I6:M6"/>
    <mergeCell ref="O13:Q13"/>
    <mergeCell ref="R13:S13"/>
    <mergeCell ref="I14:M14"/>
    <mergeCell ref="I8:M8"/>
    <mergeCell ref="I13:M13"/>
    <mergeCell ref="I10:M10"/>
    <mergeCell ref="I11:M11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  2018</vt:lpstr>
      <vt:lpstr>ТИТУЛ 2018 (2)</vt:lpstr>
      <vt:lpstr>стоимость кв.м.</vt:lpstr>
      <vt:lpstr>ТИТУЛ 2018 (3)</vt:lpstr>
      <vt:lpstr>ТИТУЛ 2018 </vt:lpstr>
      <vt:lpstr>ТИТУЛ 2018  (дубль 2</vt:lpstr>
      <vt:lpstr>ТИТУЛ 2018  (дубль 3</vt:lpstr>
      <vt:lpstr>2025</vt:lpstr>
      <vt:lpstr>Лист1</vt:lpstr>
      <vt:lpstr>'2025'!Область_печати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</dc:creator>
  <cp:lastModifiedBy>Суховарова Алеся Александровна</cp:lastModifiedBy>
  <cp:lastPrinted>2025-01-23T06:37:11Z</cp:lastPrinted>
  <dcterms:created xsi:type="dcterms:W3CDTF">2010-04-11T07:30:18Z</dcterms:created>
  <dcterms:modified xsi:type="dcterms:W3CDTF">2025-04-02T05:02:37Z</dcterms:modified>
</cp:coreProperties>
</file>