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5925" firstSheet="2" activeTab="8"/>
  </bookViews>
  <sheets>
    <sheet name="массаж" sheetId="1" r:id="rId1"/>
    <sheet name="гинекология" sheetId="2" r:id="rId2"/>
    <sheet name="физиотерапия" sheetId="3" r:id="rId3"/>
    <sheet name="прием" sheetId="4" r:id="rId4"/>
    <sheet name="фитотерапия" sheetId="5" r:id="rId5"/>
    <sheet name="ЛФК" sheetId="6" r:id="rId6"/>
    <sheet name="манипуляции" sheetId="7" r:id="rId7"/>
    <sheet name="рефлексотерапия" sheetId="8" r:id="rId8"/>
    <sheet name="ЭКГ" sheetId="9" r:id="rId9"/>
    <sheet name="стоматология" sheetId="10" r:id="rId10"/>
    <sheet name="УЗИ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62913"/>
</workbook>
</file>

<file path=xl/calcChain.xml><?xml version="1.0" encoding="utf-8"?>
<calcChain xmlns="http://schemas.openxmlformats.org/spreadsheetml/2006/main">
  <c r="L54" i="11" l="1"/>
  <c r="I54" i="11"/>
  <c r="G54" i="11"/>
  <c r="E54" i="11"/>
  <c r="C54" i="11"/>
  <c r="B54" i="11"/>
  <c r="L53" i="11"/>
  <c r="I53" i="11"/>
  <c r="G53" i="11"/>
  <c r="E53" i="11"/>
  <c r="C53" i="11"/>
  <c r="B53" i="11"/>
  <c r="L52" i="11"/>
  <c r="I52" i="11"/>
  <c r="G52" i="11"/>
  <c r="E52" i="11"/>
  <c r="C52" i="11"/>
  <c r="B52" i="11"/>
  <c r="L51" i="11"/>
  <c r="I51" i="11"/>
  <c r="G51" i="11"/>
  <c r="E51" i="11"/>
  <c r="C51" i="11"/>
  <c r="B51" i="11"/>
  <c r="L50" i="11"/>
  <c r="I50" i="11"/>
  <c r="G50" i="11"/>
  <c r="E50" i="11"/>
  <c r="C50" i="11"/>
  <c r="B50" i="11"/>
  <c r="L49" i="11"/>
  <c r="I49" i="11"/>
  <c r="G49" i="11"/>
  <c r="E49" i="11"/>
  <c r="C49" i="11"/>
  <c r="B49" i="11"/>
  <c r="L48" i="11"/>
  <c r="K48" i="11"/>
  <c r="M48" i="11" s="1"/>
  <c r="I48" i="11"/>
  <c r="G48" i="11"/>
  <c r="E48" i="11"/>
  <c r="C48" i="11"/>
  <c r="B48" i="11"/>
  <c r="L47" i="11"/>
  <c r="K47" i="11"/>
  <c r="I47" i="11"/>
  <c r="G47" i="11"/>
  <c r="E47" i="11"/>
  <c r="C47" i="11"/>
  <c r="B47" i="11"/>
  <c r="L46" i="11"/>
  <c r="K46" i="11"/>
  <c r="M46" i="11" s="1"/>
  <c r="I46" i="11"/>
  <c r="G46" i="11"/>
  <c r="E46" i="11"/>
  <c r="C46" i="11"/>
  <c r="B46" i="11"/>
  <c r="L44" i="11"/>
  <c r="I44" i="11"/>
  <c r="G44" i="11"/>
  <c r="E44" i="11"/>
  <c r="C44" i="11"/>
  <c r="B44" i="11"/>
  <c r="L43" i="11"/>
  <c r="I43" i="11"/>
  <c r="G43" i="11"/>
  <c r="E43" i="11"/>
  <c r="C43" i="11"/>
  <c r="B43" i="11"/>
  <c r="L42" i="11"/>
  <c r="I42" i="11"/>
  <c r="G42" i="11"/>
  <c r="E42" i="11"/>
  <c r="C42" i="11"/>
  <c r="B42" i="11"/>
  <c r="L41" i="11"/>
  <c r="I41" i="11"/>
  <c r="G41" i="11"/>
  <c r="E41" i="11"/>
  <c r="C41" i="11"/>
  <c r="B41" i="11"/>
  <c r="L40" i="11"/>
  <c r="I40" i="11"/>
  <c r="G40" i="11"/>
  <c r="E40" i="11"/>
  <c r="C40" i="11"/>
  <c r="B40" i="11"/>
  <c r="L39" i="11"/>
  <c r="I39" i="11"/>
  <c r="G39" i="11"/>
  <c r="E39" i="11"/>
  <c r="C39" i="11"/>
  <c r="B39" i="11"/>
  <c r="L38" i="11"/>
  <c r="K38" i="11"/>
  <c r="I38" i="11"/>
  <c r="G38" i="11"/>
  <c r="E38" i="11"/>
  <c r="C38" i="11"/>
  <c r="B38" i="11"/>
  <c r="L37" i="11"/>
  <c r="K37" i="11"/>
  <c r="M37" i="11" s="1"/>
  <c r="I37" i="11"/>
  <c r="G37" i="11"/>
  <c r="E37" i="11"/>
  <c r="C37" i="11"/>
  <c r="B37" i="11"/>
  <c r="L36" i="11"/>
  <c r="K36" i="11"/>
  <c r="I36" i="11"/>
  <c r="G36" i="11"/>
  <c r="E36" i="11"/>
  <c r="C36" i="11"/>
  <c r="B36" i="11"/>
  <c r="L34" i="11"/>
  <c r="I34" i="11"/>
  <c r="G34" i="11"/>
  <c r="E34" i="11"/>
  <c r="C34" i="11"/>
  <c r="B34" i="11"/>
  <c r="L33" i="11"/>
  <c r="I33" i="11"/>
  <c r="G33" i="11"/>
  <c r="E33" i="11"/>
  <c r="C33" i="11"/>
  <c r="B33" i="11"/>
  <c r="L32" i="11"/>
  <c r="K32" i="11"/>
  <c r="M32" i="11" s="1"/>
  <c r="I32" i="11"/>
  <c r="G32" i="11"/>
  <c r="E32" i="11"/>
  <c r="C32" i="11"/>
  <c r="B32" i="11"/>
  <c r="L31" i="11"/>
  <c r="I31" i="11"/>
  <c r="G31" i="11"/>
  <c r="E31" i="11"/>
  <c r="C31" i="11"/>
  <c r="B31" i="11"/>
  <c r="L30" i="11"/>
  <c r="I30" i="11"/>
  <c r="G30" i="11"/>
  <c r="E30" i="11"/>
  <c r="C30" i="11"/>
  <c r="B30" i="11"/>
  <c r="L29" i="11"/>
  <c r="I29" i="11"/>
  <c r="G29" i="11"/>
  <c r="E29" i="11"/>
  <c r="C29" i="11"/>
  <c r="B29" i="11"/>
  <c r="L28" i="11"/>
  <c r="I28" i="11"/>
  <c r="G28" i="11"/>
  <c r="E28" i="11"/>
  <c r="C28" i="11"/>
  <c r="B28" i="11"/>
  <c r="L27" i="11"/>
  <c r="I27" i="11"/>
  <c r="G27" i="11"/>
  <c r="E27" i="11"/>
  <c r="C27" i="11"/>
  <c r="B27" i="11"/>
  <c r="L26" i="11"/>
  <c r="I26" i="11"/>
  <c r="G26" i="11"/>
  <c r="E26" i="11"/>
  <c r="C26" i="11"/>
  <c r="B26" i="11"/>
  <c r="L25" i="11"/>
  <c r="K25" i="11"/>
  <c r="I25" i="11"/>
  <c r="G25" i="11"/>
  <c r="E25" i="11"/>
  <c r="C25" i="11"/>
  <c r="B25" i="11"/>
  <c r="L24" i="11"/>
  <c r="K24" i="11"/>
  <c r="M24" i="11" s="1"/>
  <c r="I24" i="11"/>
  <c r="G24" i="11"/>
  <c r="E24" i="11"/>
  <c r="C24" i="11"/>
  <c r="B24" i="11"/>
  <c r="L23" i="11"/>
  <c r="K23" i="11"/>
  <c r="K33" i="11" s="1"/>
  <c r="M33" i="11" s="1"/>
  <c r="I23" i="11"/>
  <c r="G23" i="11"/>
  <c r="E23" i="11"/>
  <c r="C23" i="11"/>
  <c r="B23" i="11"/>
  <c r="L21" i="11"/>
  <c r="K21" i="11"/>
  <c r="K54" i="11" s="1"/>
  <c r="M54" i="11" s="1"/>
  <c r="I21" i="11"/>
  <c r="G21" i="11"/>
  <c r="E21" i="11"/>
  <c r="C21" i="11"/>
  <c r="B21" i="11"/>
  <c r="L20" i="11"/>
  <c r="K20" i="11"/>
  <c r="K53" i="11" s="1"/>
  <c r="M53" i="11" s="1"/>
  <c r="I20" i="11"/>
  <c r="G20" i="11"/>
  <c r="E20" i="11"/>
  <c r="C20" i="11"/>
  <c r="B20" i="11"/>
  <c r="L19" i="11"/>
  <c r="K19" i="11"/>
  <c r="K52" i="11" s="1"/>
  <c r="M52" i="11" s="1"/>
  <c r="I19" i="11"/>
  <c r="G19" i="11"/>
  <c r="E19" i="11"/>
  <c r="C19" i="11"/>
  <c r="B19" i="11"/>
  <c r="L18" i="11"/>
  <c r="K18" i="11"/>
  <c r="K51" i="11" s="1"/>
  <c r="M51" i="11" s="1"/>
  <c r="I18" i="11"/>
  <c r="G18" i="11"/>
  <c r="E18" i="11"/>
  <c r="C18" i="11"/>
  <c r="B18" i="11"/>
  <c r="L17" i="11"/>
  <c r="K17" i="11"/>
  <c r="K50" i="11" s="1"/>
  <c r="M50" i="11" s="1"/>
  <c r="I17" i="11"/>
  <c r="H17" i="11"/>
  <c r="G17" i="11"/>
  <c r="E17" i="11"/>
  <c r="D17" i="11"/>
  <c r="C17" i="11"/>
  <c r="B17" i="11"/>
  <c r="L16" i="11"/>
  <c r="K16" i="11"/>
  <c r="K49" i="11" s="1"/>
  <c r="M49" i="11" s="1"/>
  <c r="I16" i="11"/>
  <c r="H16" i="11"/>
  <c r="G16" i="11"/>
  <c r="E16" i="11"/>
  <c r="D16" i="11"/>
  <c r="C16" i="11"/>
  <c r="B16" i="11"/>
  <c r="M25" i="11" l="1"/>
  <c r="M38" i="11"/>
  <c r="M36" i="11"/>
  <c r="M47" i="11"/>
  <c r="M16" i="11"/>
  <c r="M17" i="11"/>
  <c r="M19" i="11"/>
  <c r="M23" i="11"/>
  <c r="K27" i="11"/>
  <c r="M27" i="11" s="1"/>
  <c r="K28" i="11"/>
  <c r="M28" i="11" s="1"/>
  <c r="K29" i="11"/>
  <c r="M29" i="11" s="1"/>
  <c r="K34" i="11"/>
  <c r="M34" i="11" s="1"/>
  <c r="K39" i="11"/>
  <c r="M39" i="11" s="1"/>
  <c r="K40" i="11"/>
  <c r="M40" i="11" s="1"/>
  <c r="K42" i="11"/>
  <c r="M42" i="11" s="1"/>
  <c r="M18" i="11"/>
  <c r="M20" i="11"/>
  <c r="M21" i="11"/>
  <c r="K26" i="11"/>
  <c r="M26" i="11" s="1"/>
  <c r="K30" i="11"/>
  <c r="M30" i="11" s="1"/>
  <c r="K31" i="11"/>
  <c r="M31" i="11" s="1"/>
  <c r="K41" i="11"/>
  <c r="M41" i="11" s="1"/>
  <c r="K43" i="11"/>
  <c r="M43" i="11" s="1"/>
  <c r="K44" i="11"/>
  <c r="M44" i="11" s="1"/>
  <c r="G84" i="10" l="1"/>
  <c r="K84" i="10" s="1"/>
  <c r="M84" i="10" s="1"/>
  <c r="B84" i="10"/>
  <c r="G83" i="10"/>
  <c r="K83" i="10" s="1"/>
  <c r="M83" i="10" s="1"/>
  <c r="B83" i="10"/>
  <c r="G82" i="10"/>
  <c r="K82" i="10" s="1"/>
  <c r="M82" i="10" s="1"/>
  <c r="B82" i="10"/>
  <c r="G81" i="10"/>
  <c r="K81" i="10" s="1"/>
  <c r="M81" i="10" s="1"/>
  <c r="B81" i="10"/>
  <c r="G80" i="10"/>
  <c r="K80" i="10" s="1"/>
  <c r="M80" i="10" s="1"/>
  <c r="B80" i="10"/>
  <c r="M79" i="10"/>
  <c r="G79" i="10"/>
  <c r="B79" i="10"/>
  <c r="K78" i="10"/>
  <c r="M78" i="10" s="1"/>
  <c r="G78" i="10"/>
  <c r="B78" i="10"/>
  <c r="G77" i="10"/>
  <c r="L77" i="10" s="1"/>
  <c r="M77" i="10" s="1"/>
  <c r="B77" i="10"/>
  <c r="G76" i="10"/>
  <c r="K76" i="10" s="1"/>
  <c r="M76" i="10" s="1"/>
  <c r="B76" i="10"/>
  <c r="I74" i="10"/>
  <c r="G74" i="10"/>
  <c r="K74" i="10" s="1"/>
  <c r="M74" i="10" s="1"/>
  <c r="E74" i="10"/>
  <c r="I73" i="10"/>
  <c r="G73" i="10"/>
  <c r="K73" i="10" s="1"/>
  <c r="M73" i="10" s="1"/>
  <c r="E73" i="10"/>
  <c r="I72" i="10"/>
  <c r="G72" i="10"/>
  <c r="K72" i="10" s="1"/>
  <c r="M72" i="10" s="1"/>
  <c r="E72" i="10"/>
  <c r="I71" i="10"/>
  <c r="G71" i="10"/>
  <c r="K71" i="10" s="1"/>
  <c r="M71" i="10" s="1"/>
  <c r="E71" i="10"/>
  <c r="G70" i="10"/>
  <c r="K70" i="10" s="1"/>
  <c r="M70" i="10" s="1"/>
  <c r="G69" i="10"/>
  <c r="K69" i="10" s="1"/>
  <c r="M69" i="10" s="1"/>
  <c r="I68" i="10"/>
  <c r="E68" i="10"/>
  <c r="I67" i="10"/>
  <c r="G67" i="10"/>
  <c r="K67" i="10" s="1"/>
  <c r="M67" i="10" s="1"/>
  <c r="E67" i="10"/>
  <c r="I66" i="10"/>
  <c r="G66" i="10"/>
  <c r="K66" i="10" s="1"/>
  <c r="M66" i="10" s="1"/>
  <c r="E66" i="10"/>
  <c r="I65" i="10"/>
  <c r="G65" i="10"/>
  <c r="K65" i="10" s="1"/>
  <c r="M65" i="10" s="1"/>
  <c r="E65" i="10"/>
  <c r="I64" i="10"/>
  <c r="G64" i="10"/>
  <c r="K64" i="10" s="1"/>
  <c r="M64" i="10" s="1"/>
  <c r="E64" i="10"/>
  <c r="I63" i="10"/>
  <c r="G63" i="10"/>
  <c r="K63" i="10" s="1"/>
  <c r="M63" i="10" s="1"/>
  <c r="E63" i="10"/>
  <c r="I62" i="10"/>
  <c r="G62" i="10"/>
  <c r="K62" i="10" s="1"/>
  <c r="M62" i="10" s="1"/>
  <c r="E62" i="10"/>
  <c r="I61" i="10"/>
  <c r="G61" i="10"/>
  <c r="K61" i="10" s="1"/>
  <c r="M61" i="10" s="1"/>
  <c r="E61" i="10"/>
  <c r="I60" i="10"/>
  <c r="G60" i="10"/>
  <c r="K60" i="10" s="1"/>
  <c r="M60" i="10" s="1"/>
  <c r="E60" i="10"/>
  <c r="I59" i="10"/>
  <c r="G59" i="10"/>
  <c r="K59" i="10" s="1"/>
  <c r="M59" i="10" s="1"/>
  <c r="E59" i="10"/>
  <c r="I58" i="10"/>
  <c r="G58" i="10"/>
  <c r="K58" i="10" s="1"/>
  <c r="M58" i="10" s="1"/>
  <c r="E58" i="10"/>
  <c r="I57" i="10"/>
  <c r="G57" i="10"/>
  <c r="K57" i="10" s="1"/>
  <c r="M57" i="10" s="1"/>
  <c r="E57" i="10"/>
  <c r="I55" i="10"/>
  <c r="G55" i="10"/>
  <c r="K55" i="10" s="1"/>
  <c r="M55" i="10" s="1"/>
  <c r="E55" i="10"/>
  <c r="I53" i="10"/>
  <c r="G53" i="10"/>
  <c r="K53" i="10" s="1"/>
  <c r="M53" i="10" s="1"/>
  <c r="E53" i="10"/>
  <c r="I52" i="10"/>
  <c r="G52" i="10"/>
  <c r="K52" i="10" s="1"/>
  <c r="M52" i="10" s="1"/>
  <c r="E52" i="10"/>
  <c r="I51" i="10"/>
  <c r="G51" i="10"/>
  <c r="L51" i="10" s="1"/>
  <c r="M51" i="10" s="1"/>
  <c r="E51" i="10"/>
  <c r="I50" i="10"/>
  <c r="G50" i="10"/>
  <c r="K50" i="10" s="1"/>
  <c r="M50" i="10" s="1"/>
  <c r="E50" i="10"/>
  <c r="I48" i="10"/>
  <c r="G48" i="10"/>
  <c r="K48" i="10" s="1"/>
  <c r="M48" i="10" s="1"/>
  <c r="E48" i="10"/>
  <c r="I47" i="10"/>
  <c r="G47" i="10"/>
  <c r="K47" i="10" s="1"/>
  <c r="M47" i="10" s="1"/>
  <c r="E47" i="10"/>
  <c r="I46" i="10"/>
  <c r="G46" i="10"/>
  <c r="K46" i="10" s="1"/>
  <c r="M46" i="10" s="1"/>
  <c r="E46" i="10"/>
  <c r="I45" i="10"/>
  <c r="G45" i="10"/>
  <c r="K45" i="10" s="1"/>
  <c r="M45" i="10" s="1"/>
  <c r="E45" i="10"/>
  <c r="I42" i="10"/>
  <c r="G42" i="10"/>
  <c r="K42" i="10" s="1"/>
  <c r="M42" i="10" s="1"/>
  <c r="E42" i="10"/>
  <c r="I41" i="10"/>
  <c r="G41" i="10"/>
  <c r="K41" i="10" s="1"/>
  <c r="M41" i="10" s="1"/>
  <c r="E41" i="10"/>
  <c r="I40" i="10"/>
  <c r="G40" i="10"/>
  <c r="K40" i="10" s="1"/>
  <c r="M40" i="10" s="1"/>
  <c r="E40" i="10"/>
  <c r="I39" i="10"/>
  <c r="G39" i="10"/>
  <c r="K39" i="10" s="1"/>
  <c r="M39" i="10" s="1"/>
  <c r="E39" i="10"/>
  <c r="I38" i="10"/>
  <c r="G38" i="10"/>
  <c r="K38" i="10" s="1"/>
  <c r="M38" i="10" s="1"/>
  <c r="E38" i="10"/>
  <c r="I37" i="10"/>
  <c r="G37" i="10"/>
  <c r="K37" i="10" s="1"/>
  <c r="M37" i="10" s="1"/>
  <c r="E37" i="10"/>
  <c r="I36" i="10"/>
  <c r="G36" i="10"/>
  <c r="K36" i="10" s="1"/>
  <c r="M36" i="10" s="1"/>
  <c r="E36" i="10"/>
  <c r="G34" i="10"/>
  <c r="K34" i="10" s="1"/>
  <c r="M34" i="10" s="1"/>
  <c r="B34" i="10"/>
  <c r="K33" i="10"/>
  <c r="M33" i="10" s="1"/>
  <c r="G33" i="10"/>
  <c r="B33" i="10"/>
  <c r="I32" i="10"/>
  <c r="G32" i="10"/>
  <c r="K32" i="10" s="1"/>
  <c r="M32" i="10" s="1"/>
  <c r="E32" i="10"/>
  <c r="I31" i="10"/>
  <c r="G31" i="10"/>
  <c r="K31" i="10" s="1"/>
  <c r="M31" i="10" s="1"/>
  <c r="E31" i="10"/>
  <c r="I29" i="10"/>
  <c r="G29" i="10"/>
  <c r="K29" i="10" s="1"/>
  <c r="M29" i="10" s="1"/>
  <c r="E29" i="10"/>
  <c r="I28" i="10"/>
  <c r="G28" i="10"/>
  <c r="K28" i="10" s="1"/>
  <c r="M28" i="10" s="1"/>
  <c r="E28" i="10"/>
  <c r="I27" i="10"/>
  <c r="G27" i="10"/>
  <c r="K27" i="10" s="1"/>
  <c r="M27" i="10" s="1"/>
  <c r="E27" i="10"/>
  <c r="I26" i="10"/>
  <c r="G26" i="10"/>
  <c r="K26" i="10" s="1"/>
  <c r="M26" i="10" s="1"/>
  <c r="E26" i="10"/>
  <c r="I25" i="10"/>
  <c r="G25" i="10"/>
  <c r="K25" i="10" s="1"/>
  <c r="M25" i="10" s="1"/>
  <c r="E25" i="10"/>
  <c r="I24" i="10"/>
  <c r="G24" i="10"/>
  <c r="K24" i="10" s="1"/>
  <c r="M24" i="10" s="1"/>
  <c r="E24" i="10"/>
  <c r="I23" i="10"/>
  <c r="G23" i="10"/>
  <c r="E23" i="10"/>
  <c r="I21" i="10"/>
  <c r="G21" i="10"/>
  <c r="E21" i="10"/>
  <c r="B21" i="10"/>
  <c r="I20" i="10"/>
  <c r="G20" i="10"/>
  <c r="E20" i="10"/>
  <c r="B20" i="10"/>
  <c r="I19" i="10"/>
  <c r="G19" i="10"/>
  <c r="E19" i="10"/>
  <c r="B19" i="10"/>
  <c r="I18" i="10"/>
  <c r="G18" i="10"/>
  <c r="E18" i="10"/>
  <c r="B18" i="10"/>
  <c r="N110" i="9" l="1"/>
  <c r="M110" i="9"/>
  <c r="H110" i="9"/>
  <c r="G110" i="9"/>
  <c r="F110" i="9"/>
  <c r="D110" i="9"/>
  <c r="B110" i="9"/>
  <c r="G107" i="9"/>
  <c r="C105" i="9"/>
  <c r="C104" i="9"/>
  <c r="N103" i="9"/>
  <c r="M103" i="9"/>
  <c r="O103" i="9" s="1"/>
  <c r="H103" i="9"/>
  <c r="G103" i="9"/>
  <c r="F103" i="9"/>
  <c r="D103" i="9"/>
  <c r="B103" i="9"/>
  <c r="C98" i="9"/>
  <c r="C99" i="9" s="1"/>
  <c r="N97" i="9"/>
  <c r="M97" i="9"/>
  <c r="H97" i="9"/>
  <c r="G97" i="9"/>
  <c r="F97" i="9"/>
  <c r="D97" i="9"/>
  <c r="B97" i="9"/>
  <c r="C95" i="9"/>
  <c r="C100" i="9" s="1"/>
  <c r="C107" i="9" s="1"/>
  <c r="N94" i="9"/>
  <c r="M94" i="9"/>
  <c r="O94" i="9" s="1"/>
  <c r="H94" i="9"/>
  <c r="F94" i="9"/>
  <c r="D94" i="9"/>
  <c r="C94" i="9"/>
  <c r="B94" i="9"/>
  <c r="C93" i="9"/>
  <c r="C106" i="9" s="1"/>
  <c r="C90" i="9"/>
  <c r="C103" i="9" s="1"/>
  <c r="C110" i="9" s="1"/>
  <c r="I89" i="9"/>
  <c r="G89" i="9"/>
  <c r="E89" i="9"/>
  <c r="C88" i="9"/>
  <c r="C87" i="9"/>
  <c r="C86" i="9"/>
  <c r="C97" i="9" s="1"/>
  <c r="G85" i="9"/>
  <c r="N83" i="9"/>
  <c r="M83" i="9"/>
  <c r="O83" i="9" s="1"/>
  <c r="H83" i="9"/>
  <c r="F83" i="9"/>
  <c r="D83" i="9"/>
  <c r="B83" i="9"/>
  <c r="H82" i="9"/>
  <c r="H93" i="9" s="1"/>
  <c r="F82" i="9"/>
  <c r="F93" i="9" s="1"/>
  <c r="M93" i="9" s="1"/>
  <c r="O93" i="9" s="1"/>
  <c r="D82" i="9"/>
  <c r="D93" i="9" s="1"/>
  <c r="B82" i="9"/>
  <c r="B93" i="9" s="1"/>
  <c r="H79" i="9"/>
  <c r="H90" i="9" s="1"/>
  <c r="F79" i="9"/>
  <c r="M79" i="9" s="1"/>
  <c r="O79" i="9" s="1"/>
  <c r="D79" i="9"/>
  <c r="D90" i="9" s="1"/>
  <c r="B79" i="9"/>
  <c r="B90" i="9" s="1"/>
  <c r="I78" i="9"/>
  <c r="G78" i="9"/>
  <c r="E78" i="9"/>
  <c r="H77" i="9"/>
  <c r="H88" i="9" s="1"/>
  <c r="F77" i="9"/>
  <c r="M77" i="9" s="1"/>
  <c r="O77" i="9" s="1"/>
  <c r="D77" i="9"/>
  <c r="D88" i="9" s="1"/>
  <c r="B77" i="9"/>
  <c r="B88" i="9" s="1"/>
  <c r="H76" i="9"/>
  <c r="H87" i="9" s="1"/>
  <c r="F76" i="9"/>
  <c r="F87" i="9" s="1"/>
  <c r="M87" i="9" s="1"/>
  <c r="O87" i="9" s="1"/>
  <c r="D76" i="9"/>
  <c r="D87" i="9" s="1"/>
  <c r="B76" i="9"/>
  <c r="B87" i="9" s="1"/>
  <c r="H75" i="9"/>
  <c r="H86" i="9" s="1"/>
  <c r="F75" i="9"/>
  <c r="M75" i="9" s="1"/>
  <c r="D75" i="9"/>
  <c r="D86" i="9" s="1"/>
  <c r="B75" i="9"/>
  <c r="B86" i="9" s="1"/>
  <c r="K74" i="9"/>
  <c r="G74" i="9"/>
  <c r="H69" i="9"/>
  <c r="F69" i="9"/>
  <c r="M69" i="9" s="1"/>
  <c r="O69" i="9" s="1"/>
  <c r="D69" i="9"/>
  <c r="B69" i="9"/>
  <c r="C68" i="9"/>
  <c r="H67" i="9"/>
  <c r="F67" i="9"/>
  <c r="M67" i="9" s="1"/>
  <c r="O67" i="9" s="1"/>
  <c r="D67" i="9"/>
  <c r="B67" i="9"/>
  <c r="B66" i="9"/>
  <c r="B62" i="9"/>
  <c r="B61" i="9"/>
  <c r="B60" i="9"/>
  <c r="B68" i="9" s="1"/>
  <c r="B59" i="9"/>
  <c r="B70" i="9" s="1"/>
  <c r="B78" i="9" s="1"/>
  <c r="H58" i="9"/>
  <c r="F58" i="9"/>
  <c r="M58" i="9" s="1"/>
  <c r="O58" i="9" s="1"/>
  <c r="D58" i="9"/>
  <c r="B58" i="9"/>
  <c r="B57" i="9"/>
  <c r="B56" i="9"/>
  <c r="B55" i="9"/>
  <c r="H54" i="9"/>
  <c r="H66" i="9" s="1"/>
  <c r="F54" i="9"/>
  <c r="F66" i="9" s="1"/>
  <c r="M66" i="9" s="1"/>
  <c r="D54" i="9"/>
  <c r="D66" i="9" s="1"/>
  <c r="G53" i="9"/>
  <c r="H52" i="9"/>
  <c r="H63" i="9" s="1"/>
  <c r="H72" i="9" s="1"/>
  <c r="H84" i="9" s="1"/>
  <c r="H95" i="9" s="1"/>
  <c r="H100" i="9" s="1"/>
  <c r="H107" i="9" s="1"/>
  <c r="F52" i="9"/>
  <c r="F63" i="9" s="1"/>
  <c r="F72" i="9" s="1"/>
  <c r="F84" i="9" s="1"/>
  <c r="F95" i="9" s="1"/>
  <c r="F100" i="9" s="1"/>
  <c r="F107" i="9" s="1"/>
  <c r="D52" i="9"/>
  <c r="D63" i="9" s="1"/>
  <c r="D72" i="9" s="1"/>
  <c r="D84" i="9" s="1"/>
  <c r="D95" i="9" s="1"/>
  <c r="D100" i="9" s="1"/>
  <c r="D107" i="9" s="1"/>
  <c r="B52" i="9"/>
  <c r="B63" i="9" s="1"/>
  <c r="B72" i="9" s="1"/>
  <c r="B84" i="9" s="1"/>
  <c r="B95" i="9" s="1"/>
  <c r="B100" i="9" s="1"/>
  <c r="B107" i="9" s="1"/>
  <c r="B51" i="9"/>
  <c r="B50" i="9"/>
  <c r="H49" i="9"/>
  <c r="H50" i="9" s="1"/>
  <c r="H51" i="9" s="1"/>
  <c r="D49" i="9"/>
  <c r="D50" i="9" s="1"/>
  <c r="D51" i="9" s="1"/>
  <c r="B49" i="9"/>
  <c r="H48" i="9"/>
  <c r="F48" i="9"/>
  <c r="M48" i="9" s="1"/>
  <c r="O48" i="9" s="1"/>
  <c r="D48" i="9"/>
  <c r="B48" i="9"/>
  <c r="H47" i="9"/>
  <c r="F47" i="9"/>
  <c r="M47" i="9" s="1"/>
  <c r="O47" i="9" s="1"/>
  <c r="D47" i="9"/>
  <c r="B47" i="9"/>
  <c r="C46" i="9"/>
  <c r="C45" i="9"/>
  <c r="H44" i="9"/>
  <c r="C44" i="9"/>
  <c r="C43" i="9"/>
  <c r="C42" i="9"/>
  <c r="C41" i="9"/>
  <c r="C40" i="9"/>
  <c r="C39" i="9"/>
  <c r="C38" i="9"/>
  <c r="C37" i="9"/>
  <c r="C36" i="9"/>
  <c r="C35" i="9"/>
  <c r="C34" i="9"/>
  <c r="C33" i="9"/>
  <c r="N31" i="9"/>
  <c r="N52" i="9" s="1"/>
  <c r="N63" i="9" s="1"/>
  <c r="M31" i="9"/>
  <c r="M52" i="9" s="1"/>
  <c r="H31" i="9"/>
  <c r="F31" i="9"/>
  <c r="D31" i="9"/>
  <c r="C31" i="9"/>
  <c r="B31" i="9"/>
  <c r="B30" i="9"/>
  <c r="B46" i="9" s="1"/>
  <c r="N28" i="9"/>
  <c r="N44" i="9" s="1"/>
  <c r="M28" i="9"/>
  <c r="O28" i="9" s="1"/>
  <c r="H28" i="9"/>
  <c r="F28" i="9"/>
  <c r="F44" i="9" s="1"/>
  <c r="D28" i="9"/>
  <c r="D44" i="9" s="1"/>
  <c r="B28" i="9"/>
  <c r="B44" i="9" s="1"/>
  <c r="B27" i="9"/>
  <c r="B43" i="9" s="1"/>
  <c r="B26" i="9"/>
  <c r="B42" i="9" s="1"/>
  <c r="N24" i="9"/>
  <c r="N40" i="9" s="1"/>
  <c r="M24" i="9"/>
  <c r="M40" i="9" s="1"/>
  <c r="H24" i="9"/>
  <c r="H40" i="9" s="1"/>
  <c r="F24" i="9"/>
  <c r="F40" i="9" s="1"/>
  <c r="D24" i="9"/>
  <c r="D40" i="9" s="1"/>
  <c r="B24" i="9"/>
  <c r="B40" i="9" s="1"/>
  <c r="B23" i="9"/>
  <c r="B39" i="9" s="1"/>
  <c r="I22" i="9"/>
  <c r="I25" i="9" s="1"/>
  <c r="I29" i="9" s="1"/>
  <c r="G22" i="9"/>
  <c r="G25" i="9" s="1"/>
  <c r="E22" i="9"/>
  <c r="E25" i="9" s="1"/>
  <c r="E29" i="9" s="1"/>
  <c r="H21" i="9"/>
  <c r="H37" i="9" s="1"/>
  <c r="F21" i="9"/>
  <c r="F37" i="9" s="1"/>
  <c r="D21" i="9"/>
  <c r="D37" i="9" s="1"/>
  <c r="B21" i="9"/>
  <c r="B37" i="9" s="1"/>
  <c r="H20" i="9"/>
  <c r="H36" i="9" s="1"/>
  <c r="F20" i="9"/>
  <c r="F36" i="9" s="1"/>
  <c r="F39" i="9" s="1"/>
  <c r="D20" i="9"/>
  <c r="D36" i="9" s="1"/>
  <c r="B20" i="9"/>
  <c r="B36" i="9" s="1"/>
  <c r="H19" i="9"/>
  <c r="H35" i="9" s="1"/>
  <c r="F19" i="9"/>
  <c r="F55" i="9" s="1"/>
  <c r="D19" i="9"/>
  <c r="D35" i="9" s="1"/>
  <c r="B19" i="9"/>
  <c r="B29" i="9" s="1"/>
  <c r="B45" i="9" s="1"/>
  <c r="H18" i="9"/>
  <c r="H34" i="9" s="1"/>
  <c r="F18" i="9"/>
  <c r="M18" i="9" s="1"/>
  <c r="D18" i="9"/>
  <c r="D34" i="9" s="1"/>
  <c r="B18" i="9"/>
  <c r="B34" i="9" s="1"/>
  <c r="H17" i="9"/>
  <c r="H33" i="9" s="1"/>
  <c r="F17" i="9"/>
  <c r="F33" i="9" s="1"/>
  <c r="D17" i="9"/>
  <c r="D33" i="9" s="1"/>
  <c r="B17" i="9"/>
  <c r="B33" i="9" s="1"/>
  <c r="L16" i="9"/>
  <c r="J110" i="9" s="1"/>
  <c r="K16" i="9"/>
  <c r="L53" i="8"/>
  <c r="K53" i="8"/>
  <c r="M53" i="8" s="1"/>
  <c r="G53" i="8"/>
  <c r="C53" i="8"/>
  <c r="B53" i="8"/>
  <c r="A53" i="8"/>
  <c r="L52" i="8"/>
  <c r="K52" i="8"/>
  <c r="M52" i="8" s="1"/>
  <c r="G52" i="8"/>
  <c r="C52" i="8"/>
  <c r="B52" i="8"/>
  <c r="A52" i="8"/>
  <c r="L51" i="8"/>
  <c r="K51" i="8"/>
  <c r="M51" i="8" s="1"/>
  <c r="G51" i="8"/>
  <c r="C51" i="8"/>
  <c r="B51" i="8"/>
  <c r="A51" i="8"/>
  <c r="L50" i="8"/>
  <c r="K50" i="8"/>
  <c r="M50" i="8" s="1"/>
  <c r="G50" i="8"/>
  <c r="C50" i="8"/>
  <c r="B50" i="8"/>
  <c r="A50" i="8"/>
  <c r="L49" i="8"/>
  <c r="K49" i="8"/>
  <c r="M49" i="8" s="1"/>
  <c r="G49" i="8"/>
  <c r="C49" i="8"/>
  <c r="B49" i="8"/>
  <c r="A49" i="8"/>
  <c r="B48" i="8"/>
  <c r="A48" i="8"/>
  <c r="L47" i="8"/>
  <c r="K47" i="8"/>
  <c r="M47" i="8" s="1"/>
  <c r="G47" i="8"/>
  <c r="B47" i="8"/>
  <c r="L46" i="8"/>
  <c r="K46" i="8"/>
  <c r="M46" i="8" s="1"/>
  <c r="G46" i="8"/>
  <c r="B46" i="8"/>
  <c r="L45" i="8"/>
  <c r="K45" i="8"/>
  <c r="M45" i="8" s="1"/>
  <c r="G45" i="8"/>
  <c r="B45" i="8"/>
  <c r="L44" i="8"/>
  <c r="K44" i="8"/>
  <c r="M44" i="8" s="1"/>
  <c r="G44" i="8"/>
  <c r="B44" i="8"/>
  <c r="L43" i="8"/>
  <c r="K43" i="8"/>
  <c r="M43" i="8" s="1"/>
  <c r="G43" i="8"/>
  <c r="L41" i="8"/>
  <c r="K41" i="8"/>
  <c r="G41" i="8"/>
  <c r="B41" i="8"/>
  <c r="L40" i="8"/>
  <c r="K40" i="8"/>
  <c r="G40" i="8"/>
  <c r="B40" i="8"/>
  <c r="L39" i="8"/>
  <c r="K39" i="8"/>
  <c r="G39" i="8"/>
  <c r="B39" i="8"/>
  <c r="L38" i="8"/>
  <c r="K38" i="8"/>
  <c r="G38" i="8"/>
  <c r="B38" i="8"/>
  <c r="L37" i="8"/>
  <c r="K37" i="8"/>
  <c r="G37" i="8"/>
  <c r="B37" i="8"/>
  <c r="L36" i="8"/>
  <c r="K36" i="8"/>
  <c r="G36" i="8"/>
  <c r="B36" i="8"/>
  <c r="L35" i="8"/>
  <c r="K35" i="8"/>
  <c r="G35" i="8"/>
  <c r="B35" i="8"/>
  <c r="L34" i="8"/>
  <c r="K34" i="8"/>
  <c r="G34" i="8"/>
  <c r="B34" i="8"/>
  <c r="L33" i="8"/>
  <c r="K33" i="8"/>
  <c r="G33" i="8"/>
  <c r="B33" i="8"/>
  <c r="L31" i="8"/>
  <c r="K31" i="8"/>
  <c r="G31" i="8"/>
  <c r="B31" i="8"/>
  <c r="L30" i="8"/>
  <c r="K30" i="8"/>
  <c r="G30" i="8"/>
  <c r="B30" i="8"/>
  <c r="L29" i="8"/>
  <c r="K29" i="8"/>
  <c r="G29" i="8"/>
  <c r="B29" i="8"/>
  <c r="L27" i="8"/>
  <c r="K27" i="8"/>
  <c r="G27" i="8"/>
  <c r="B27" i="8"/>
  <c r="L25" i="8"/>
  <c r="K25" i="8"/>
  <c r="G25" i="8"/>
  <c r="B25" i="8"/>
  <c r="L24" i="8"/>
  <c r="K24" i="8"/>
  <c r="G24" i="8"/>
  <c r="B24" i="8"/>
  <c r="L22" i="8"/>
  <c r="K22" i="8"/>
  <c r="G22" i="8"/>
  <c r="B22" i="8"/>
  <c r="L18" i="8"/>
  <c r="K18" i="8"/>
  <c r="G18" i="8"/>
  <c r="B18" i="8"/>
  <c r="L17" i="8"/>
  <c r="K17" i="8"/>
  <c r="H17" i="8"/>
  <c r="G17" i="8"/>
  <c r="D17" i="8"/>
  <c r="B17" i="8"/>
  <c r="B35" i="9" l="1"/>
  <c r="M17" i="8"/>
  <c r="M18" i="8"/>
  <c r="M22" i="8"/>
  <c r="M24" i="8"/>
  <c r="M25" i="8"/>
  <c r="M27" i="8"/>
  <c r="M29" i="8"/>
  <c r="M30" i="8"/>
  <c r="M31" i="8"/>
  <c r="M33" i="8"/>
  <c r="M34" i="8"/>
  <c r="M35" i="8"/>
  <c r="M36" i="8"/>
  <c r="M37" i="8"/>
  <c r="M38" i="8"/>
  <c r="M39" i="8"/>
  <c r="M40" i="8"/>
  <c r="M41" i="8"/>
  <c r="F22" i="9"/>
  <c r="F25" i="9" s="1"/>
  <c r="F23" i="9"/>
  <c r="F30" i="9" s="1"/>
  <c r="F90" i="9"/>
  <c r="M90" i="9" s="1"/>
  <c r="O90" i="9" s="1"/>
  <c r="N32" i="9"/>
  <c r="F34" i="9"/>
  <c r="M34" i="9"/>
  <c r="O34" i="9" s="1"/>
  <c r="O18" i="9"/>
  <c r="F56" i="9"/>
  <c r="M55" i="9"/>
  <c r="O55" i="9" s="1"/>
  <c r="G29" i="9"/>
  <c r="G16" i="9"/>
  <c r="O40" i="9"/>
  <c r="O52" i="9"/>
  <c r="M63" i="9"/>
  <c r="B80" i="9"/>
  <c r="B81" i="9" s="1"/>
  <c r="B92" i="9" s="1"/>
  <c r="B89" i="9"/>
  <c r="B91" i="9" s="1"/>
  <c r="B98" i="9" s="1"/>
  <c r="F26" i="9"/>
  <c r="F27" i="9" s="1"/>
  <c r="F29" i="9" s="1"/>
  <c r="N72" i="9"/>
  <c r="N53" i="9"/>
  <c r="F50" i="9"/>
  <c r="F49" i="9"/>
  <c r="F51" i="9" s="1"/>
  <c r="F46" i="9"/>
  <c r="M39" i="9"/>
  <c r="O75" i="9"/>
  <c r="N16" i="9"/>
  <c r="M17" i="9"/>
  <c r="M19" i="9"/>
  <c r="F104" i="9"/>
  <c r="F98" i="9"/>
  <c r="M20" i="9"/>
  <c r="M21" i="9"/>
  <c r="B22" i="9"/>
  <c r="B38" i="9" s="1"/>
  <c r="D23" i="9"/>
  <c r="H23" i="9"/>
  <c r="B25" i="9"/>
  <c r="B41" i="9" s="1"/>
  <c r="O31" i="9"/>
  <c r="F35" i="9"/>
  <c r="F38" i="9" s="1"/>
  <c r="M44" i="9"/>
  <c r="O44" i="9" s="1"/>
  <c r="O66" i="9"/>
  <c r="M76" i="9"/>
  <c r="O76" i="9" s="1"/>
  <c r="F86" i="9"/>
  <c r="F88" i="9"/>
  <c r="M88" i="9" s="1"/>
  <c r="O88" i="9" s="1"/>
  <c r="D22" i="9"/>
  <c r="D38" i="9" s="1"/>
  <c r="H22" i="9"/>
  <c r="M22" i="9"/>
  <c r="M23" i="9"/>
  <c r="O24" i="9"/>
  <c r="D25" i="9"/>
  <c r="H25" i="9"/>
  <c r="M27" i="9"/>
  <c r="M54" i="9"/>
  <c r="F59" i="9"/>
  <c r="B71" i="9"/>
  <c r="O97" i="9"/>
  <c r="O110" i="9"/>
  <c r="M82" i="9"/>
  <c r="O82" i="9" s="1"/>
  <c r="F68" i="9" l="1"/>
  <c r="F60" i="9"/>
  <c r="M59" i="9"/>
  <c r="O59" i="9" s="1"/>
  <c r="M29" i="9"/>
  <c r="O29" i="9" s="1"/>
  <c r="O27" i="9"/>
  <c r="D41" i="9"/>
  <c r="D26" i="9"/>
  <c r="M30" i="9"/>
  <c r="O30" i="9" s="1"/>
  <c r="M26" i="9"/>
  <c r="O26" i="9" s="1"/>
  <c r="O23" i="9"/>
  <c r="H38" i="9"/>
  <c r="M86" i="9"/>
  <c r="F41" i="9"/>
  <c r="F42" i="9" s="1"/>
  <c r="M38" i="9"/>
  <c r="D59" i="9"/>
  <c r="D60" i="9" s="1"/>
  <c r="D39" i="9"/>
  <c r="D30" i="9"/>
  <c r="D46" i="9" s="1"/>
  <c r="O21" i="9"/>
  <c r="M37" i="9"/>
  <c r="O37" i="9" s="1"/>
  <c r="F105" i="9"/>
  <c r="M105" i="9" s="1"/>
  <c r="O105" i="9" s="1"/>
  <c r="M98" i="9"/>
  <c r="O19" i="9"/>
  <c r="M35" i="9"/>
  <c r="O35" i="9" s="1"/>
  <c r="N84" i="9"/>
  <c r="N65" i="9"/>
  <c r="B99" i="9"/>
  <c r="B104" i="9"/>
  <c r="B105" i="9" s="1"/>
  <c r="B106" i="9" s="1"/>
  <c r="F57" i="9"/>
  <c r="M56" i="9"/>
  <c r="O54" i="9"/>
  <c r="H41" i="9"/>
  <c r="H26" i="9"/>
  <c r="M25" i="9"/>
  <c r="O25" i="9" s="1"/>
  <c r="O22" i="9"/>
  <c r="H59" i="9"/>
  <c r="H39" i="9"/>
  <c r="H30" i="9"/>
  <c r="H46" i="9" s="1"/>
  <c r="M36" i="9"/>
  <c r="O36" i="9" s="1"/>
  <c r="O20" i="9"/>
  <c r="F106" i="9"/>
  <c r="M106" i="9" s="1"/>
  <c r="O106" i="9" s="1"/>
  <c r="M104" i="9"/>
  <c r="F102" i="9"/>
  <c r="O17" i="9"/>
  <c r="M16" i="9"/>
  <c r="M33" i="9"/>
  <c r="M46" i="9"/>
  <c r="O39" i="9"/>
  <c r="F16" i="9"/>
  <c r="O63" i="9"/>
  <c r="M72" i="9"/>
  <c r="O16" i="9" l="1"/>
  <c r="O72" i="9"/>
  <c r="M84" i="9"/>
  <c r="M50" i="9"/>
  <c r="O50" i="9" s="1"/>
  <c r="M49" i="9"/>
  <c r="O46" i="9"/>
  <c r="N95" i="9"/>
  <c r="N74" i="9"/>
  <c r="O98" i="9"/>
  <c r="M41" i="9"/>
  <c r="O38" i="9"/>
  <c r="F61" i="9"/>
  <c r="F62" i="9" s="1"/>
  <c r="M60" i="9"/>
  <c r="O33" i="9"/>
  <c r="O104" i="9"/>
  <c r="H68" i="9"/>
  <c r="H60" i="9"/>
  <c r="H61" i="9" s="1"/>
  <c r="H62" i="9" s="1"/>
  <c r="H42" i="9"/>
  <c r="H27" i="9"/>
  <c r="M57" i="9"/>
  <c r="O57" i="9" s="1"/>
  <c r="O56" i="9"/>
  <c r="D68" i="9"/>
  <c r="D61" i="9"/>
  <c r="D62" i="9" s="1"/>
  <c r="F43" i="9"/>
  <c r="F32" i="9" s="1"/>
  <c r="F45" i="9"/>
  <c r="O86" i="9"/>
  <c r="D42" i="9"/>
  <c r="D27" i="9"/>
  <c r="F78" i="9"/>
  <c r="F70" i="9"/>
  <c r="M68" i="9"/>
  <c r="F71" i="9" l="1"/>
  <c r="M70" i="9"/>
  <c r="O70" i="9" s="1"/>
  <c r="D29" i="9"/>
  <c r="D16" i="9" s="1"/>
  <c r="D43" i="9"/>
  <c r="D70" i="9"/>
  <c r="H29" i="9"/>
  <c r="H43" i="9"/>
  <c r="O60" i="9"/>
  <c r="M61" i="9"/>
  <c r="M42" i="9"/>
  <c r="O41" i="9"/>
  <c r="N100" i="9"/>
  <c r="N85" i="9"/>
  <c r="O68" i="9"/>
  <c r="F81" i="9"/>
  <c r="F74" i="9" s="1"/>
  <c r="F80" i="9"/>
  <c r="M80" i="9" s="1"/>
  <c r="O80" i="9" s="1"/>
  <c r="M78" i="9"/>
  <c r="H70" i="9"/>
  <c r="F53" i="9"/>
  <c r="M51" i="9"/>
  <c r="O51" i="9" s="1"/>
  <c r="O49" i="9"/>
  <c r="M95" i="9"/>
  <c r="O84" i="9"/>
  <c r="M100" i="9" l="1"/>
  <c r="O95" i="9"/>
  <c r="M43" i="9"/>
  <c r="O42" i="9"/>
  <c r="H45" i="9"/>
  <c r="H55" i="9"/>
  <c r="H16" i="9"/>
  <c r="J16" i="9" s="1"/>
  <c r="D78" i="9"/>
  <c r="D71" i="9"/>
  <c r="D45" i="9"/>
  <c r="D32" i="9" s="1"/>
  <c r="D55" i="9"/>
  <c r="M71" i="9"/>
  <c r="F65" i="9"/>
  <c r="H78" i="9"/>
  <c r="H71" i="9"/>
  <c r="H65" i="9" s="1"/>
  <c r="O78" i="9"/>
  <c r="O74" i="9" s="1"/>
  <c r="F89" i="9"/>
  <c r="M81" i="9"/>
  <c r="O81" i="9" s="1"/>
  <c r="N107" i="9"/>
  <c r="N102" i="9" s="1"/>
  <c r="N96" i="9"/>
  <c r="O61" i="9"/>
  <c r="M62" i="9"/>
  <c r="H32" i="9"/>
  <c r="D65" i="9"/>
  <c r="O62" i="9" l="1"/>
  <c r="O53" i="9" s="1"/>
  <c r="M53" i="9"/>
  <c r="M89" i="9"/>
  <c r="F91" i="9"/>
  <c r="M91" i="9" s="1"/>
  <c r="O91" i="9" s="1"/>
  <c r="F92" i="9"/>
  <c r="H89" i="9"/>
  <c r="H80" i="9"/>
  <c r="H81" i="9" s="1"/>
  <c r="O71" i="9"/>
  <c r="O65" i="9" s="1"/>
  <c r="M65" i="9"/>
  <c r="D89" i="9"/>
  <c r="D80" i="9"/>
  <c r="D81" i="9" s="1"/>
  <c r="D74" i="9"/>
  <c r="H56" i="9"/>
  <c r="H57" i="9" s="1"/>
  <c r="M45" i="9"/>
  <c r="O43" i="9"/>
  <c r="M107" i="9"/>
  <c r="O100" i="9"/>
  <c r="M74" i="9"/>
  <c r="D56" i="9"/>
  <c r="D57" i="9" s="1"/>
  <c r="F85" i="9" l="1"/>
  <c r="D98" i="9"/>
  <c r="D91" i="9"/>
  <c r="D92" i="9" s="1"/>
  <c r="D99" i="9"/>
  <c r="D106" i="9" s="1"/>
  <c r="D53" i="9"/>
  <c r="O107" i="9"/>
  <c r="O102" i="9" s="1"/>
  <c r="M102" i="9"/>
  <c r="O45" i="9"/>
  <c r="O32" i="9" s="1"/>
  <c r="M32" i="9"/>
  <c r="H53" i="9"/>
  <c r="J53" i="9" s="1"/>
  <c r="H74" i="9"/>
  <c r="J74" i="9" s="1"/>
  <c r="H98" i="9"/>
  <c r="H91" i="9"/>
  <c r="H92" i="9" s="1"/>
  <c r="H99" i="9"/>
  <c r="H106" i="9" s="1"/>
  <c r="H85" i="9"/>
  <c r="J85" i="9" s="1"/>
  <c r="F99" i="9"/>
  <c r="M92" i="9"/>
  <c r="O92" i="9" s="1"/>
  <c r="O89" i="9"/>
  <c r="O85" i="9" s="1"/>
  <c r="M85" i="9"/>
  <c r="D85" i="9" l="1"/>
  <c r="M99" i="9"/>
  <c r="F96" i="9"/>
  <c r="H105" i="9"/>
  <c r="H96" i="9"/>
  <c r="J96" i="9" s="1"/>
  <c r="H104" i="9"/>
  <c r="D105" i="9"/>
  <c r="D104" i="9"/>
  <c r="D96" i="9"/>
  <c r="H102" i="9" l="1"/>
  <c r="D102" i="9"/>
  <c r="O99" i="9"/>
  <c r="O96" i="9" s="1"/>
  <c r="M96" i="9"/>
  <c r="I18" i="8" l="1"/>
  <c r="I17" i="8"/>
  <c r="I25" i="8" l="1"/>
  <c r="I27" i="8"/>
  <c r="I30" i="8"/>
  <c r="I31" i="8"/>
  <c r="I33" i="8"/>
  <c r="I41" i="8"/>
  <c r="I45" i="8"/>
  <c r="I39" i="8"/>
  <c r="I44" i="8"/>
  <c r="I22" i="8"/>
  <c r="I24" i="8"/>
  <c r="I29" i="8"/>
  <c r="I34" i="8"/>
  <c r="I35" i="8"/>
  <c r="I36" i="8"/>
  <c r="I38" i="8"/>
  <c r="I43" i="8"/>
  <c r="I37" i="8"/>
  <c r="I40" i="8"/>
  <c r="I46" i="8"/>
  <c r="E17" i="8"/>
  <c r="E18" i="8"/>
  <c r="E29" i="8" l="1"/>
  <c r="E40" i="8"/>
  <c r="E25" i="8"/>
  <c r="E31" i="8"/>
  <c r="E44" i="8"/>
  <c r="E30" i="8"/>
  <c r="E35" i="8"/>
  <c r="I47" i="8"/>
  <c r="E22" i="8"/>
  <c r="E38" i="8"/>
  <c r="E43" i="8"/>
  <c r="E46" i="8"/>
  <c r="E33" i="8"/>
  <c r="E41" i="8"/>
  <c r="E45" i="8"/>
  <c r="E34" i="8"/>
  <c r="E27" i="8"/>
  <c r="E24" i="8"/>
  <c r="E36" i="8"/>
  <c r="E47" i="8"/>
  <c r="E39" i="8"/>
  <c r="E37" i="8"/>
  <c r="E49" i="8" l="1"/>
  <c r="I49" i="8"/>
  <c r="E50" i="8" l="1"/>
  <c r="I50" i="8"/>
  <c r="E51" i="8" l="1"/>
  <c r="I51" i="8"/>
  <c r="E52" i="8" l="1"/>
  <c r="I52" i="8"/>
  <c r="I53" i="8" l="1"/>
  <c r="E53" i="8" l="1"/>
  <c r="L20" i="7" l="1"/>
  <c r="K20" i="7"/>
  <c r="M20" i="7" s="1"/>
  <c r="G20" i="7"/>
  <c r="B20" i="7"/>
  <c r="L19" i="7"/>
  <c r="K19" i="7"/>
  <c r="M19" i="7" s="1"/>
  <c r="G19" i="7"/>
  <c r="B19" i="7"/>
  <c r="L18" i="7"/>
  <c r="K18" i="7"/>
  <c r="M18" i="7" s="1"/>
  <c r="G18" i="7"/>
  <c r="B18" i="7"/>
  <c r="L17" i="7"/>
  <c r="K17" i="7"/>
  <c r="M17" i="7" s="1"/>
  <c r="H17" i="7"/>
  <c r="G17" i="7"/>
  <c r="D17" i="7"/>
  <c r="B17" i="7"/>
  <c r="L16" i="7"/>
  <c r="K16" i="7"/>
  <c r="M16" i="7" s="1"/>
  <c r="H16" i="7"/>
  <c r="G16" i="7"/>
  <c r="D16" i="7"/>
  <c r="B16" i="7"/>
  <c r="I18" i="7" l="1"/>
  <c r="I20" i="7"/>
  <c r="E20" i="7"/>
  <c r="I19" i="7"/>
  <c r="E19" i="7"/>
  <c r="I17" i="7"/>
  <c r="E18" i="7" l="1"/>
  <c r="I16" i="7" l="1"/>
  <c r="E17" i="7"/>
  <c r="E16" i="7" l="1"/>
  <c r="H17" i="6" l="1"/>
  <c r="D17" i="6"/>
  <c r="B17" i="6"/>
  <c r="H16" i="6"/>
  <c r="D16" i="6"/>
  <c r="B16" i="6"/>
  <c r="J15" i="5"/>
  <c r="G15" i="5"/>
  <c r="F15" i="5"/>
  <c r="L15" i="5" s="1"/>
  <c r="M15" i="5" s="1"/>
  <c r="D15" i="5" l="1"/>
  <c r="H15" i="5" l="1"/>
  <c r="I17" i="6" l="1"/>
  <c r="I16" i="6"/>
  <c r="E16" i="6" l="1"/>
  <c r="E17" i="6"/>
  <c r="J23" i="4" l="1"/>
  <c r="I23" i="4"/>
  <c r="K23" i="4" s="1"/>
  <c r="F23" i="4"/>
  <c r="J22" i="4"/>
  <c r="I22" i="4"/>
  <c r="F22" i="4"/>
  <c r="J20" i="4"/>
  <c r="I20" i="4"/>
  <c r="K20" i="4" s="1"/>
  <c r="F20" i="4"/>
  <c r="B20" i="4"/>
  <c r="J19" i="4"/>
  <c r="I19" i="4"/>
  <c r="K19" i="4" s="1"/>
  <c r="F19" i="4"/>
  <c r="C19" i="4"/>
  <c r="C20" i="4" s="1"/>
  <c r="B19" i="4"/>
  <c r="J17" i="4"/>
  <c r="I17" i="4"/>
  <c r="K17" i="4" s="1"/>
  <c r="F17" i="4"/>
  <c r="C17" i="4"/>
  <c r="B17" i="4"/>
  <c r="J16" i="4"/>
  <c r="I16" i="4"/>
  <c r="K16" i="4" s="1"/>
  <c r="F16" i="4"/>
  <c r="B16" i="4"/>
  <c r="K22" i="4" l="1"/>
  <c r="C22" i="4"/>
  <c r="C23" i="4" s="1"/>
  <c r="J141" i="3"/>
  <c r="I141" i="3"/>
  <c r="K141" i="3" s="1"/>
  <c r="F141" i="3"/>
  <c r="C141" i="3"/>
  <c r="B141" i="3"/>
  <c r="K140" i="3"/>
  <c r="I140" i="3"/>
  <c r="F140" i="3"/>
  <c r="I139" i="3"/>
  <c r="K139" i="3" s="1"/>
  <c r="F139" i="3"/>
  <c r="C139" i="3"/>
  <c r="B139" i="3"/>
  <c r="K138" i="3"/>
  <c r="I138" i="3"/>
  <c r="F138" i="3"/>
  <c r="C138" i="3"/>
  <c r="B138" i="3"/>
  <c r="J137" i="3"/>
  <c r="I137" i="3"/>
  <c r="K137" i="3" s="1"/>
  <c r="F137" i="3"/>
  <c r="C137" i="3"/>
  <c r="B137" i="3"/>
  <c r="G136" i="3"/>
  <c r="F136" i="3"/>
  <c r="I136" i="3" s="1"/>
  <c r="K136" i="3" s="1"/>
  <c r="D136" i="3"/>
  <c r="C136" i="3"/>
  <c r="B136" i="3"/>
  <c r="K135" i="3"/>
  <c r="I135" i="3"/>
  <c r="F135" i="3"/>
  <c r="C135" i="3"/>
  <c r="B135" i="3"/>
  <c r="I133" i="3"/>
  <c r="K133" i="3" s="1"/>
  <c r="F133" i="3"/>
  <c r="C133" i="3"/>
  <c r="B133" i="3"/>
  <c r="J131" i="3"/>
  <c r="I131" i="3"/>
  <c r="F131" i="3"/>
  <c r="C131" i="3"/>
  <c r="B131" i="3"/>
  <c r="J130" i="3"/>
  <c r="I130" i="3"/>
  <c r="K130" i="3" s="1"/>
  <c r="F130" i="3"/>
  <c r="B130" i="3"/>
  <c r="J129" i="3"/>
  <c r="I129" i="3"/>
  <c r="K129" i="3" s="1"/>
  <c r="F129" i="3"/>
  <c r="B129" i="3"/>
  <c r="J128" i="3"/>
  <c r="I128" i="3"/>
  <c r="K128" i="3" s="1"/>
  <c r="F128" i="3"/>
  <c r="B128" i="3"/>
  <c r="J127" i="3"/>
  <c r="I127" i="3"/>
  <c r="K127" i="3" s="1"/>
  <c r="F127" i="3"/>
  <c r="B127" i="3"/>
  <c r="J126" i="3"/>
  <c r="I126" i="3"/>
  <c r="K126" i="3" s="1"/>
  <c r="F126" i="3"/>
  <c r="B126" i="3"/>
  <c r="J125" i="3"/>
  <c r="I125" i="3"/>
  <c r="K125" i="3" s="1"/>
  <c r="F125" i="3"/>
  <c r="B125" i="3"/>
  <c r="J124" i="3"/>
  <c r="I124" i="3"/>
  <c r="K124" i="3" s="1"/>
  <c r="F124" i="3"/>
  <c r="B124" i="3"/>
  <c r="J123" i="3"/>
  <c r="I123" i="3"/>
  <c r="K123" i="3" s="1"/>
  <c r="F123" i="3"/>
  <c r="B123" i="3"/>
  <c r="J122" i="3"/>
  <c r="I122" i="3"/>
  <c r="K122" i="3" s="1"/>
  <c r="F122" i="3"/>
  <c r="B122" i="3"/>
  <c r="J121" i="3"/>
  <c r="I121" i="3"/>
  <c r="K121" i="3" s="1"/>
  <c r="F121" i="3"/>
  <c r="B121" i="3"/>
  <c r="J120" i="3"/>
  <c r="I120" i="3"/>
  <c r="K120" i="3" s="1"/>
  <c r="F120" i="3"/>
  <c r="B120" i="3"/>
  <c r="J119" i="3"/>
  <c r="I119" i="3"/>
  <c r="K119" i="3" s="1"/>
  <c r="F119" i="3"/>
  <c r="B119" i="3"/>
  <c r="J118" i="3"/>
  <c r="I118" i="3"/>
  <c r="K118" i="3" s="1"/>
  <c r="F118" i="3"/>
  <c r="B118" i="3"/>
  <c r="J117" i="3"/>
  <c r="I117" i="3"/>
  <c r="K117" i="3" s="1"/>
  <c r="F117" i="3"/>
  <c r="B117" i="3"/>
  <c r="J116" i="3"/>
  <c r="I116" i="3"/>
  <c r="K116" i="3" s="1"/>
  <c r="F116" i="3"/>
  <c r="B116" i="3"/>
  <c r="J115" i="3"/>
  <c r="I115" i="3"/>
  <c r="K115" i="3" s="1"/>
  <c r="F115" i="3"/>
  <c r="B115" i="3"/>
  <c r="J114" i="3"/>
  <c r="I114" i="3"/>
  <c r="K114" i="3" s="1"/>
  <c r="F114" i="3"/>
  <c r="B114" i="3"/>
  <c r="J113" i="3"/>
  <c r="I113" i="3"/>
  <c r="K113" i="3" s="1"/>
  <c r="F113" i="3"/>
  <c r="B113" i="3"/>
  <c r="J112" i="3"/>
  <c r="I112" i="3"/>
  <c r="K112" i="3" s="1"/>
  <c r="F112" i="3"/>
  <c r="B112" i="3"/>
  <c r="J111" i="3"/>
  <c r="I111" i="3"/>
  <c r="K111" i="3" s="1"/>
  <c r="F111" i="3"/>
  <c r="B111" i="3"/>
  <c r="J110" i="3"/>
  <c r="I110" i="3"/>
  <c r="K110" i="3" s="1"/>
  <c r="F110" i="3"/>
  <c r="B110" i="3"/>
  <c r="J109" i="3"/>
  <c r="I109" i="3"/>
  <c r="K109" i="3" s="1"/>
  <c r="F109" i="3"/>
  <c r="B109" i="3"/>
  <c r="J108" i="3"/>
  <c r="I108" i="3"/>
  <c r="K108" i="3" s="1"/>
  <c r="F108" i="3"/>
  <c r="B108" i="3"/>
  <c r="J107" i="3"/>
  <c r="I107" i="3"/>
  <c r="K107" i="3" s="1"/>
  <c r="F107" i="3"/>
  <c r="B107" i="3"/>
  <c r="J106" i="3"/>
  <c r="I106" i="3"/>
  <c r="K106" i="3" s="1"/>
  <c r="F106" i="3"/>
  <c r="B106" i="3"/>
  <c r="J105" i="3"/>
  <c r="I105" i="3"/>
  <c r="K105" i="3" s="1"/>
  <c r="F105" i="3"/>
  <c r="B105" i="3"/>
  <c r="J104" i="3"/>
  <c r="I104" i="3"/>
  <c r="K104" i="3" s="1"/>
  <c r="F104" i="3"/>
  <c r="B104" i="3"/>
  <c r="K103" i="3"/>
  <c r="F103" i="3"/>
  <c r="K102" i="3"/>
  <c r="F102" i="3"/>
  <c r="B102" i="3"/>
  <c r="K101" i="3"/>
  <c r="F101" i="3"/>
  <c r="B101" i="3"/>
  <c r="C100" i="3"/>
  <c r="B100" i="3"/>
  <c r="J99" i="3"/>
  <c r="I99" i="3"/>
  <c r="K99" i="3" s="1"/>
  <c r="F99" i="3"/>
  <c r="C99" i="3"/>
  <c r="B99" i="3"/>
  <c r="J98" i="3"/>
  <c r="I98" i="3"/>
  <c r="F98" i="3"/>
  <c r="C98" i="3"/>
  <c r="B98" i="3"/>
  <c r="J96" i="3"/>
  <c r="I96" i="3"/>
  <c r="K96" i="3" s="1"/>
  <c r="F96" i="3"/>
  <c r="C96" i="3"/>
  <c r="B96" i="3"/>
  <c r="J95" i="3"/>
  <c r="I95" i="3"/>
  <c r="K95" i="3" s="1"/>
  <c r="F95" i="3"/>
  <c r="C95" i="3"/>
  <c r="B95" i="3"/>
  <c r="J94" i="3"/>
  <c r="I94" i="3"/>
  <c r="K94" i="3" s="1"/>
  <c r="F94" i="3"/>
  <c r="C94" i="3"/>
  <c r="B94" i="3"/>
  <c r="J93" i="3"/>
  <c r="I93" i="3"/>
  <c r="F93" i="3"/>
  <c r="B93" i="3"/>
  <c r="J92" i="3"/>
  <c r="I92" i="3"/>
  <c r="F92" i="3"/>
  <c r="B92" i="3"/>
  <c r="J91" i="3"/>
  <c r="I91" i="3"/>
  <c r="F91" i="3"/>
  <c r="B91" i="3"/>
  <c r="J90" i="3"/>
  <c r="I90" i="3"/>
  <c r="F90" i="3"/>
  <c r="B90" i="3"/>
  <c r="J89" i="3"/>
  <c r="I89" i="3"/>
  <c r="F89" i="3"/>
  <c r="B89" i="3"/>
  <c r="J88" i="3"/>
  <c r="I88" i="3"/>
  <c r="F88" i="3"/>
  <c r="B88" i="3"/>
  <c r="J87" i="3"/>
  <c r="I87" i="3"/>
  <c r="F87" i="3"/>
  <c r="B87" i="3"/>
  <c r="J86" i="3"/>
  <c r="I86" i="3"/>
  <c r="F86" i="3"/>
  <c r="B86" i="3"/>
  <c r="J85" i="3"/>
  <c r="I85" i="3"/>
  <c r="F85" i="3"/>
  <c r="B85" i="3"/>
  <c r="J84" i="3"/>
  <c r="I84" i="3"/>
  <c r="F84" i="3"/>
  <c r="B84" i="3"/>
  <c r="J83" i="3"/>
  <c r="I83" i="3"/>
  <c r="F83" i="3"/>
  <c r="B83" i="3"/>
  <c r="J82" i="3"/>
  <c r="I82" i="3"/>
  <c r="F82" i="3"/>
  <c r="B82" i="3"/>
  <c r="J81" i="3"/>
  <c r="I81" i="3"/>
  <c r="F81" i="3"/>
  <c r="B81" i="3"/>
  <c r="J80" i="3"/>
  <c r="I80" i="3"/>
  <c r="F80" i="3"/>
  <c r="B80" i="3"/>
  <c r="J79" i="3"/>
  <c r="I79" i="3"/>
  <c r="F79" i="3"/>
  <c r="B79" i="3"/>
  <c r="J78" i="3"/>
  <c r="I78" i="3"/>
  <c r="F78" i="3"/>
  <c r="B78" i="3"/>
  <c r="J77" i="3"/>
  <c r="I77" i="3"/>
  <c r="F77" i="3"/>
  <c r="B77" i="3"/>
  <c r="J76" i="3"/>
  <c r="I76" i="3"/>
  <c r="F76" i="3"/>
  <c r="B76" i="3"/>
  <c r="J75" i="3"/>
  <c r="I75" i="3"/>
  <c r="F75" i="3"/>
  <c r="B75" i="3"/>
  <c r="J74" i="3"/>
  <c r="I74" i="3"/>
  <c r="F74" i="3"/>
  <c r="B74" i="3"/>
  <c r="J73" i="3"/>
  <c r="I73" i="3"/>
  <c r="F73" i="3"/>
  <c r="B73" i="3"/>
  <c r="J72" i="3"/>
  <c r="I72" i="3"/>
  <c r="F72" i="3"/>
  <c r="J71" i="3"/>
  <c r="I71" i="3"/>
  <c r="K71" i="3" s="1"/>
  <c r="F71" i="3"/>
  <c r="B71" i="3"/>
  <c r="C70" i="3"/>
  <c r="B70" i="3"/>
  <c r="J69" i="3"/>
  <c r="I69" i="3"/>
  <c r="K69" i="3" s="1"/>
  <c r="F69" i="3"/>
  <c r="C69" i="3"/>
  <c r="B69" i="3"/>
  <c r="J68" i="3"/>
  <c r="I68" i="3"/>
  <c r="K68" i="3" s="1"/>
  <c r="F68" i="3"/>
  <c r="C68" i="3"/>
  <c r="B68" i="3"/>
  <c r="J67" i="3"/>
  <c r="I67" i="3"/>
  <c r="K67" i="3" s="1"/>
  <c r="F67" i="3"/>
  <c r="C67" i="3"/>
  <c r="B67" i="3"/>
  <c r="J65" i="3"/>
  <c r="I65" i="3"/>
  <c r="F65" i="3"/>
  <c r="B65" i="3"/>
  <c r="K64" i="3"/>
  <c r="J64" i="3"/>
  <c r="F64" i="3"/>
  <c r="B64" i="3"/>
  <c r="C63" i="3"/>
  <c r="B63" i="3"/>
  <c r="J62" i="3"/>
  <c r="I62" i="3"/>
  <c r="K62" i="3" s="1"/>
  <c r="F62" i="3"/>
  <c r="B62" i="3"/>
  <c r="J61" i="3"/>
  <c r="I61" i="3"/>
  <c r="K61" i="3" s="1"/>
  <c r="F61" i="3"/>
  <c r="B61" i="3"/>
  <c r="J60" i="3"/>
  <c r="I60" i="3"/>
  <c r="K60" i="3" s="1"/>
  <c r="F60" i="3"/>
  <c r="B60" i="3"/>
  <c r="J59" i="3"/>
  <c r="I59" i="3"/>
  <c r="K59" i="3" s="1"/>
  <c r="F59" i="3"/>
  <c r="B59" i="3"/>
  <c r="J58" i="3"/>
  <c r="I58" i="3"/>
  <c r="K58" i="3" s="1"/>
  <c r="F58" i="3"/>
  <c r="B58" i="3"/>
  <c r="J57" i="3"/>
  <c r="I57" i="3"/>
  <c r="K57" i="3" s="1"/>
  <c r="F57" i="3"/>
  <c r="B57" i="3"/>
  <c r="B56" i="3"/>
  <c r="I55" i="3"/>
  <c r="K55" i="3" s="1"/>
  <c r="F55" i="3"/>
  <c r="C55" i="3"/>
  <c r="C56" i="3" s="1"/>
  <c r="C62" i="3" s="1"/>
  <c r="B55" i="3"/>
  <c r="J54" i="3"/>
  <c r="I54" i="3"/>
  <c r="K54" i="3" s="1"/>
  <c r="F54" i="3"/>
  <c r="C54" i="3"/>
  <c r="B54" i="3"/>
  <c r="K53" i="3"/>
  <c r="I53" i="3"/>
  <c r="F53" i="3"/>
  <c r="B53" i="3"/>
  <c r="J52" i="3"/>
  <c r="I52" i="3"/>
  <c r="F52" i="3"/>
  <c r="B52" i="3"/>
  <c r="C51" i="3"/>
  <c r="B51" i="3"/>
  <c r="I49" i="3"/>
  <c r="K49" i="3" s="1"/>
  <c r="F49" i="3"/>
  <c r="C49" i="3"/>
  <c r="B49" i="3"/>
  <c r="J48" i="3"/>
  <c r="I48" i="3"/>
  <c r="K48" i="3" s="1"/>
  <c r="F48" i="3"/>
  <c r="C48" i="3"/>
  <c r="B48" i="3"/>
  <c r="I47" i="3"/>
  <c r="K47" i="3" s="1"/>
  <c r="F47" i="3"/>
  <c r="C47" i="3"/>
  <c r="B47" i="3"/>
  <c r="I46" i="3"/>
  <c r="K46" i="3" s="1"/>
  <c r="F46" i="3"/>
  <c r="C46" i="3"/>
  <c r="B46" i="3"/>
  <c r="K45" i="3"/>
  <c r="I45" i="3"/>
  <c r="F45" i="3"/>
  <c r="B45" i="3"/>
  <c r="J44" i="3"/>
  <c r="I44" i="3"/>
  <c r="F44" i="3"/>
  <c r="B44" i="3"/>
  <c r="C43" i="3"/>
  <c r="B43" i="3"/>
  <c r="J41" i="3"/>
  <c r="I41" i="3"/>
  <c r="K41" i="3" s="1"/>
  <c r="F41" i="3"/>
  <c r="C41" i="3"/>
  <c r="B41" i="3"/>
  <c r="I40" i="3"/>
  <c r="K40" i="3" s="1"/>
  <c r="F40" i="3"/>
  <c r="C40" i="3"/>
  <c r="B40" i="3"/>
  <c r="K39" i="3"/>
  <c r="I39" i="3"/>
  <c r="F39" i="3"/>
  <c r="C39" i="3"/>
  <c r="B39" i="3"/>
  <c r="I38" i="3"/>
  <c r="K38" i="3" s="1"/>
  <c r="F38" i="3"/>
  <c r="C38" i="3"/>
  <c r="B38" i="3"/>
  <c r="K37" i="3"/>
  <c r="I37" i="3"/>
  <c r="F37" i="3"/>
  <c r="C37" i="3"/>
  <c r="B37" i="3"/>
  <c r="I35" i="3"/>
  <c r="K35" i="3" s="1"/>
  <c r="F35" i="3"/>
  <c r="C35" i="3"/>
  <c r="B35" i="3"/>
  <c r="J34" i="3"/>
  <c r="I34" i="3"/>
  <c r="F34" i="3"/>
  <c r="C34" i="3"/>
  <c r="B34" i="3"/>
  <c r="I33" i="3"/>
  <c r="K33" i="3" s="1"/>
  <c r="F33" i="3"/>
  <c r="C33" i="3"/>
  <c r="B33" i="3"/>
  <c r="I32" i="3"/>
  <c r="K32" i="3" s="1"/>
  <c r="F32" i="3"/>
  <c r="C32" i="3"/>
  <c r="B32" i="3"/>
  <c r="K31" i="3"/>
  <c r="I31" i="3"/>
  <c r="F31" i="3"/>
  <c r="C31" i="3"/>
  <c r="B31" i="3"/>
  <c r="I30" i="3"/>
  <c r="K30" i="3" s="1"/>
  <c r="F30" i="3"/>
  <c r="C30" i="3"/>
  <c r="B30" i="3"/>
  <c r="I29" i="3"/>
  <c r="K29" i="3" s="1"/>
  <c r="F29" i="3"/>
  <c r="C29" i="3"/>
  <c r="B29" i="3"/>
  <c r="K28" i="3"/>
  <c r="I28" i="3"/>
  <c r="F28" i="3"/>
  <c r="C28" i="3"/>
  <c r="B28" i="3"/>
  <c r="I27" i="3"/>
  <c r="K27" i="3" s="1"/>
  <c r="F27" i="3"/>
  <c r="C27" i="3"/>
  <c r="B27" i="3"/>
  <c r="K26" i="3"/>
  <c r="I26" i="3"/>
  <c r="F26" i="3"/>
  <c r="C26" i="3"/>
  <c r="B26" i="3"/>
  <c r="I25" i="3"/>
  <c r="K25" i="3" s="1"/>
  <c r="F25" i="3"/>
  <c r="C25" i="3"/>
  <c r="B25" i="3"/>
  <c r="I24" i="3"/>
  <c r="K24" i="3" s="1"/>
  <c r="F24" i="3"/>
  <c r="C24" i="3"/>
  <c r="B24" i="3"/>
  <c r="I23" i="3"/>
  <c r="K23" i="3" s="1"/>
  <c r="F23" i="3"/>
  <c r="C23" i="3"/>
  <c r="B23" i="3"/>
  <c r="J22" i="3"/>
  <c r="I22" i="3"/>
  <c r="K22" i="3" s="1"/>
  <c r="F22" i="3"/>
  <c r="B22" i="3"/>
  <c r="B21" i="3"/>
  <c r="J20" i="3"/>
  <c r="I20" i="3"/>
  <c r="K20" i="3" s="1"/>
  <c r="F20" i="3"/>
  <c r="B20" i="3"/>
  <c r="J19" i="3"/>
  <c r="I19" i="3"/>
  <c r="K19" i="3" s="1"/>
  <c r="F19" i="3"/>
  <c r="B19" i="3"/>
  <c r="J18" i="3"/>
  <c r="I18" i="3"/>
  <c r="K18" i="3" s="1"/>
  <c r="F18" i="3"/>
  <c r="B18" i="3"/>
  <c r="J17" i="3"/>
  <c r="I17" i="3"/>
  <c r="K17" i="3" s="1"/>
  <c r="F17" i="3"/>
  <c r="B17" i="3"/>
  <c r="B16" i="3"/>
  <c r="J49" i="2"/>
  <c r="H49" i="2"/>
  <c r="E49" i="2"/>
  <c r="B49" i="2"/>
  <c r="J48" i="2"/>
  <c r="H48" i="2"/>
  <c r="E48" i="2"/>
  <c r="B48" i="2"/>
  <c r="J47" i="2"/>
  <c r="H47" i="2"/>
  <c r="E47" i="2"/>
  <c r="B47" i="2"/>
  <c r="I46" i="2"/>
  <c r="H46" i="2"/>
  <c r="E46" i="2"/>
  <c r="B46" i="2"/>
  <c r="I45" i="2"/>
  <c r="H45" i="2"/>
  <c r="E45" i="2"/>
  <c r="B45" i="2"/>
  <c r="J44" i="2"/>
  <c r="H44" i="2"/>
  <c r="E44" i="2"/>
  <c r="B44" i="2"/>
  <c r="J43" i="2"/>
  <c r="H43" i="2"/>
  <c r="E43" i="2"/>
  <c r="B43" i="2"/>
  <c r="J42" i="2"/>
  <c r="H42" i="2"/>
  <c r="E42" i="2"/>
  <c r="B42" i="2"/>
  <c r="I41" i="2"/>
  <c r="H41" i="2"/>
  <c r="E41" i="2"/>
  <c r="B41" i="2"/>
  <c r="H40" i="2"/>
  <c r="J40" i="2" s="1"/>
  <c r="E40" i="2"/>
  <c r="B40" i="2"/>
  <c r="H39" i="2"/>
  <c r="J39" i="2" s="1"/>
  <c r="E39" i="2"/>
  <c r="B39" i="2"/>
  <c r="H38" i="2"/>
  <c r="J38" i="2" s="1"/>
  <c r="E38" i="2"/>
  <c r="B38" i="2"/>
  <c r="H37" i="2"/>
  <c r="J37" i="2" s="1"/>
  <c r="E37" i="2"/>
  <c r="B37" i="2"/>
  <c r="H36" i="2"/>
  <c r="J36" i="2" s="1"/>
  <c r="E36" i="2"/>
  <c r="B36" i="2"/>
  <c r="H35" i="2"/>
  <c r="J35" i="2" s="1"/>
  <c r="E35" i="2"/>
  <c r="B35" i="2"/>
  <c r="H34" i="2"/>
  <c r="J34" i="2" s="1"/>
  <c r="E34" i="2"/>
  <c r="B34" i="2"/>
  <c r="I33" i="2"/>
  <c r="H33" i="2"/>
  <c r="J33" i="2" s="1"/>
  <c r="E33" i="2"/>
  <c r="B33" i="2"/>
  <c r="H32" i="2"/>
  <c r="J32" i="2" s="1"/>
  <c r="E32" i="2"/>
  <c r="B32" i="2"/>
  <c r="H31" i="2"/>
  <c r="J31" i="2" s="1"/>
  <c r="E31" i="2"/>
  <c r="B31" i="2"/>
  <c r="H30" i="2"/>
  <c r="J30" i="2" s="1"/>
  <c r="E30" i="2"/>
  <c r="B30" i="2"/>
  <c r="J29" i="2"/>
  <c r="H29" i="2"/>
  <c r="E29" i="2"/>
  <c r="B29" i="2"/>
  <c r="J28" i="2"/>
  <c r="H28" i="2"/>
  <c r="E28" i="2"/>
  <c r="B28" i="2"/>
  <c r="J27" i="2"/>
  <c r="H27" i="2"/>
  <c r="E27" i="2"/>
  <c r="B27" i="2"/>
  <c r="B26" i="2"/>
  <c r="H25" i="2"/>
  <c r="J25" i="2" s="1"/>
  <c r="E25" i="2"/>
  <c r="B25" i="2"/>
  <c r="H24" i="2"/>
  <c r="J24" i="2" s="1"/>
  <c r="E24" i="2"/>
  <c r="B24" i="2"/>
  <c r="H23" i="2"/>
  <c r="J23" i="2" s="1"/>
  <c r="E23" i="2"/>
  <c r="B23" i="2"/>
  <c r="H22" i="2"/>
  <c r="J22" i="2" s="1"/>
  <c r="E22" i="2"/>
  <c r="B22" i="2"/>
  <c r="H21" i="2"/>
  <c r="J21" i="2" s="1"/>
  <c r="E21" i="2"/>
  <c r="B21" i="2"/>
  <c r="B20" i="2"/>
  <c r="I19" i="2"/>
  <c r="H19" i="2"/>
  <c r="J19" i="2" s="1"/>
  <c r="E19" i="2"/>
  <c r="B19" i="2"/>
  <c r="H18" i="2"/>
  <c r="J18" i="2" s="1"/>
  <c r="E18" i="2"/>
  <c r="B18" i="2"/>
  <c r="H17" i="2"/>
  <c r="J17" i="2" s="1"/>
  <c r="E17" i="2"/>
  <c r="B17" i="2"/>
  <c r="H16" i="2"/>
  <c r="J16" i="2" s="1"/>
  <c r="E16" i="2"/>
  <c r="B16" i="2"/>
  <c r="H15" i="2"/>
  <c r="J15" i="2" s="1"/>
  <c r="E15" i="2"/>
  <c r="B15" i="2"/>
  <c r="H14" i="2"/>
  <c r="J14" i="2" s="1"/>
  <c r="E14" i="2"/>
  <c r="B14" i="2"/>
  <c r="L55" i="1"/>
  <c r="K55" i="1"/>
  <c r="H55" i="1"/>
  <c r="F55" i="1"/>
  <c r="D55" i="1"/>
  <c r="C55" i="1"/>
  <c r="B55" i="1"/>
  <c r="K54" i="1"/>
  <c r="L54" i="1" s="1"/>
  <c r="H54" i="1"/>
  <c r="F54" i="1"/>
  <c r="D54" i="1"/>
  <c r="C54" i="1"/>
  <c r="B54" i="1"/>
  <c r="K53" i="1"/>
  <c r="L53" i="1" s="1"/>
  <c r="H53" i="1"/>
  <c r="F53" i="1"/>
  <c r="D53" i="1"/>
  <c r="C53" i="1"/>
  <c r="B53" i="1"/>
  <c r="K52" i="1"/>
  <c r="L52" i="1" s="1"/>
  <c r="H52" i="1"/>
  <c r="F52" i="1"/>
  <c r="D52" i="1"/>
  <c r="C52" i="1"/>
  <c r="B52" i="1"/>
  <c r="L51" i="1"/>
  <c r="K51" i="1"/>
  <c r="H51" i="1"/>
  <c r="F51" i="1"/>
  <c r="D51" i="1"/>
  <c r="C51" i="1"/>
  <c r="B51" i="1"/>
  <c r="K50" i="1"/>
  <c r="L50" i="1" s="1"/>
  <c r="H50" i="1"/>
  <c r="F50" i="1"/>
  <c r="D50" i="1"/>
  <c r="C50" i="1"/>
  <c r="B50" i="1"/>
  <c r="A50" i="1"/>
  <c r="K49" i="1"/>
  <c r="L49" i="1" s="1"/>
  <c r="H49" i="1"/>
  <c r="F49" i="1"/>
  <c r="D49" i="1"/>
  <c r="C49" i="1"/>
  <c r="B49" i="1"/>
  <c r="A49" i="1"/>
  <c r="K48" i="1"/>
  <c r="L48" i="1" s="1"/>
  <c r="H48" i="1"/>
  <c r="F48" i="1"/>
  <c r="D48" i="1"/>
  <c r="C48" i="1"/>
  <c r="B48" i="1"/>
  <c r="A48" i="1"/>
  <c r="K47" i="1"/>
  <c r="L47" i="1" s="1"/>
  <c r="H47" i="1"/>
  <c r="F47" i="1"/>
  <c r="D47" i="1"/>
  <c r="C47" i="1"/>
  <c r="B47" i="1"/>
  <c r="A47" i="1"/>
  <c r="K46" i="1"/>
  <c r="L46" i="1" s="1"/>
  <c r="H46" i="1"/>
  <c r="F46" i="1"/>
  <c r="D46" i="1"/>
  <c r="C46" i="1"/>
  <c r="B46" i="1"/>
  <c r="A46" i="1"/>
  <c r="K45" i="1"/>
  <c r="L45" i="1" s="1"/>
  <c r="H45" i="1"/>
  <c r="F45" i="1"/>
  <c r="D45" i="1"/>
  <c r="C45" i="1"/>
  <c r="B45" i="1"/>
  <c r="A45" i="1"/>
  <c r="K44" i="1"/>
  <c r="L44" i="1" s="1"/>
  <c r="H44" i="1"/>
  <c r="F44" i="1"/>
  <c r="D44" i="1"/>
  <c r="C44" i="1"/>
  <c r="B44" i="1"/>
  <c r="A44" i="1"/>
  <c r="K43" i="1"/>
  <c r="L43" i="1" s="1"/>
  <c r="H43" i="1"/>
  <c r="F43" i="1"/>
  <c r="D43" i="1"/>
  <c r="C43" i="1"/>
  <c r="B43" i="1"/>
  <c r="A43" i="1"/>
  <c r="K42" i="1"/>
  <c r="L42" i="1" s="1"/>
  <c r="H42" i="1"/>
  <c r="F42" i="1"/>
  <c r="D42" i="1"/>
  <c r="C42" i="1"/>
  <c r="B42" i="1"/>
  <c r="A42" i="1"/>
  <c r="K39" i="1"/>
  <c r="L39" i="1" s="1"/>
  <c r="H39" i="1"/>
  <c r="G39" i="1"/>
  <c r="F39" i="1"/>
  <c r="D39" i="1"/>
  <c r="C39" i="1"/>
  <c r="B39" i="1"/>
  <c r="K38" i="1"/>
  <c r="L38" i="1" s="1"/>
  <c r="H38" i="1"/>
  <c r="G38" i="1"/>
  <c r="F38" i="1"/>
  <c r="D38" i="1"/>
  <c r="C38" i="1"/>
  <c r="B38" i="1"/>
  <c r="K37" i="1"/>
  <c r="L37" i="1" s="1"/>
  <c r="H37" i="1"/>
  <c r="G37" i="1"/>
  <c r="F37" i="1"/>
  <c r="D37" i="1"/>
  <c r="C37" i="1"/>
  <c r="B37" i="1"/>
  <c r="K36" i="1"/>
  <c r="L36" i="1" s="1"/>
  <c r="H36" i="1"/>
  <c r="G36" i="1"/>
  <c r="F36" i="1"/>
  <c r="D36" i="1"/>
  <c r="C36" i="1"/>
  <c r="B36" i="1"/>
  <c r="K35" i="1"/>
  <c r="L35" i="1" s="1"/>
  <c r="H35" i="1"/>
  <c r="G35" i="1"/>
  <c r="F35" i="1"/>
  <c r="D35" i="1"/>
  <c r="C35" i="1"/>
  <c r="B35" i="1"/>
  <c r="K34" i="1"/>
  <c r="L34" i="1" s="1"/>
  <c r="H34" i="1"/>
  <c r="G34" i="1"/>
  <c r="F34" i="1"/>
  <c r="D34" i="1"/>
  <c r="C34" i="1"/>
  <c r="B34" i="1"/>
  <c r="K33" i="1"/>
  <c r="L33" i="1" s="1"/>
  <c r="H33" i="1"/>
  <c r="G33" i="1"/>
  <c r="F33" i="1"/>
  <c r="D33" i="1"/>
  <c r="C33" i="1"/>
  <c r="B33" i="1"/>
  <c r="K32" i="1"/>
  <c r="L32" i="1" s="1"/>
  <c r="H32" i="1"/>
  <c r="G32" i="1"/>
  <c r="F32" i="1"/>
  <c r="D32" i="1"/>
  <c r="C32" i="1"/>
  <c r="B32" i="1"/>
  <c r="K31" i="1"/>
  <c r="L31" i="1" s="1"/>
  <c r="H31" i="1"/>
  <c r="G31" i="1"/>
  <c r="F31" i="1"/>
  <c r="D31" i="1"/>
  <c r="C31" i="1"/>
  <c r="B31" i="1"/>
  <c r="K30" i="1"/>
  <c r="L30" i="1" s="1"/>
  <c r="H30" i="1"/>
  <c r="G30" i="1"/>
  <c r="F30" i="1"/>
  <c r="D30" i="1"/>
  <c r="C30" i="1"/>
  <c r="B30" i="1"/>
  <c r="K29" i="1"/>
  <c r="L29" i="1" s="1"/>
  <c r="H29" i="1"/>
  <c r="G29" i="1"/>
  <c r="F29" i="1"/>
  <c r="D29" i="1"/>
  <c r="C29" i="1"/>
  <c r="B29" i="1"/>
  <c r="K28" i="1"/>
  <c r="L28" i="1" s="1"/>
  <c r="H28" i="1"/>
  <c r="G28" i="1"/>
  <c r="F28" i="1"/>
  <c r="D28" i="1"/>
  <c r="C28" i="1"/>
  <c r="B28" i="1"/>
  <c r="K27" i="1"/>
  <c r="L27" i="1" s="1"/>
  <c r="H27" i="1"/>
  <c r="G27" i="1"/>
  <c r="F27" i="1"/>
  <c r="D27" i="1"/>
  <c r="C27" i="1"/>
  <c r="B27" i="1"/>
  <c r="K26" i="1"/>
  <c r="L26" i="1" s="1"/>
  <c r="H26" i="1"/>
  <c r="G26" i="1"/>
  <c r="F26" i="1"/>
  <c r="D26" i="1"/>
  <c r="C26" i="1"/>
  <c r="B26" i="1"/>
  <c r="K25" i="1"/>
  <c r="L25" i="1" s="1"/>
  <c r="H25" i="1"/>
  <c r="G25" i="1"/>
  <c r="F25" i="1"/>
  <c r="D25" i="1"/>
  <c r="C25" i="1"/>
  <c r="B25" i="1"/>
  <c r="K24" i="1"/>
  <c r="L24" i="1" s="1"/>
  <c r="H24" i="1"/>
  <c r="G24" i="1"/>
  <c r="F24" i="1"/>
  <c r="D24" i="1"/>
  <c r="C24" i="1"/>
  <c r="B24" i="1"/>
  <c r="K23" i="1"/>
  <c r="L23" i="1" s="1"/>
  <c r="H23" i="1"/>
  <c r="G23" i="1"/>
  <c r="F23" i="1"/>
  <c r="D23" i="1"/>
  <c r="C23" i="1"/>
  <c r="B23" i="1"/>
  <c r="K22" i="1"/>
  <c r="L22" i="1" s="1"/>
  <c r="H22" i="1"/>
  <c r="G22" i="1"/>
  <c r="F22" i="1"/>
  <c r="D22" i="1"/>
  <c r="C22" i="1"/>
  <c r="B22" i="1"/>
  <c r="K21" i="1"/>
  <c r="L21" i="1" s="1"/>
  <c r="H21" i="1"/>
  <c r="G21" i="1"/>
  <c r="F21" i="1"/>
  <c r="D21" i="1"/>
  <c r="C21" i="1"/>
  <c r="B21" i="1"/>
  <c r="K20" i="1"/>
  <c r="L20" i="1" s="1"/>
  <c r="H20" i="1"/>
  <c r="G20" i="1"/>
  <c r="F20" i="1"/>
  <c r="D20" i="1"/>
  <c r="C20" i="1"/>
  <c r="B20" i="1"/>
  <c r="K19" i="1"/>
  <c r="L19" i="1" s="1"/>
  <c r="H19" i="1"/>
  <c r="G19" i="1"/>
  <c r="F19" i="1"/>
  <c r="D19" i="1"/>
  <c r="C19" i="1"/>
  <c r="B19" i="1"/>
  <c r="K18" i="1"/>
  <c r="L18" i="1" s="1"/>
  <c r="H18" i="1"/>
  <c r="G18" i="1"/>
  <c r="F18" i="1"/>
  <c r="D18" i="1"/>
  <c r="C18" i="1"/>
  <c r="B18" i="1"/>
  <c r="K17" i="1"/>
  <c r="L17" i="1" s="1"/>
  <c r="H17" i="1"/>
  <c r="G17" i="1"/>
  <c r="F17" i="1"/>
  <c r="D17" i="1"/>
  <c r="C17" i="1"/>
  <c r="B17" i="1"/>
  <c r="K16" i="1"/>
  <c r="L16" i="1" s="1"/>
  <c r="H16" i="1"/>
  <c r="G16" i="1"/>
  <c r="F16" i="1"/>
  <c r="D16" i="1"/>
  <c r="B16" i="1"/>
  <c r="J41" i="2" l="1"/>
  <c r="J45" i="2"/>
  <c r="J46" i="2"/>
  <c r="K44" i="3"/>
  <c r="K52" i="3"/>
  <c r="K65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8" i="3"/>
  <c r="K131" i="3"/>
  <c r="K34" i="3"/>
  <c r="G20" i="4"/>
  <c r="G22" i="4"/>
  <c r="D19" i="4"/>
  <c r="G16" i="4"/>
  <c r="D20" i="4"/>
  <c r="D17" i="4"/>
  <c r="G29" i="3"/>
  <c r="D16" i="3"/>
  <c r="D32" i="3"/>
  <c r="C16" i="2"/>
  <c r="C17" i="2"/>
  <c r="C18" i="2"/>
  <c r="F48" i="2"/>
  <c r="D22" i="4" l="1"/>
  <c r="D16" i="4"/>
  <c r="G17" i="4"/>
  <c r="G19" i="4"/>
  <c r="G141" i="3"/>
  <c r="G140" i="3"/>
  <c r="D40" i="3"/>
  <c r="D137" i="3"/>
  <c r="G32" i="3"/>
  <c r="C20" i="2"/>
  <c r="F26" i="2"/>
  <c r="C45" i="2"/>
  <c r="F14" i="2"/>
  <c r="D21" i="3" l="1"/>
  <c r="D141" i="3"/>
  <c r="D131" i="3"/>
  <c r="D51" i="3"/>
  <c r="D63" i="3"/>
  <c r="D56" i="3"/>
  <c r="F47" i="2"/>
  <c r="G56" i="3"/>
  <c r="F46" i="2"/>
  <c r="G131" i="3"/>
  <c r="F45" i="2"/>
  <c r="F20" i="2"/>
  <c r="G139" i="3"/>
  <c r="D33" i="3"/>
  <c r="D69" i="3"/>
  <c r="C14" i="2"/>
  <c r="D70" i="3"/>
  <c r="F19" i="2"/>
  <c r="G137" i="3"/>
  <c r="G68" i="3"/>
  <c r="D139" i="3"/>
  <c r="D96" i="3"/>
  <c r="G33" i="3"/>
  <c r="C46" i="2"/>
  <c r="F49" i="2"/>
  <c r="C19" i="2"/>
  <c r="G23" i="4" l="1"/>
  <c r="D23" i="4"/>
  <c r="G138" i="3"/>
  <c r="D133" i="3"/>
  <c r="D67" i="3"/>
  <c r="D24" i="3"/>
  <c r="G96" i="3"/>
  <c r="C47" i="2"/>
  <c r="D140" i="3"/>
  <c r="D68" i="3"/>
  <c r="D135" i="3"/>
  <c r="D100" i="3"/>
  <c r="G54" i="3"/>
  <c r="G30" i="3"/>
  <c r="G27" i="3"/>
  <c r="D54" i="3"/>
  <c r="G47" i="3"/>
  <c r="G133" i="3"/>
  <c r="D138" i="3"/>
  <c r="D98" i="3"/>
  <c r="D46" i="3"/>
  <c r="D43" i="3"/>
  <c r="D39" i="3"/>
  <c r="D41" i="3"/>
  <c r="G41" i="3"/>
  <c r="G16" i="3"/>
  <c r="D23" i="3"/>
  <c r="D38" i="3"/>
  <c r="G95" i="3"/>
  <c r="D55" i="3"/>
  <c r="D37" i="3"/>
  <c r="G21" i="3"/>
  <c r="D94" i="3"/>
  <c r="D47" i="3"/>
  <c r="C48" i="2"/>
  <c r="D31" i="3"/>
  <c r="D99" i="3"/>
  <c r="G63" i="3"/>
  <c r="C49" i="2"/>
  <c r="F15" i="2"/>
  <c r="C15" i="2"/>
  <c r="F18" i="2"/>
  <c r="F17" i="2"/>
  <c r="F16" i="2"/>
  <c r="C26" i="2"/>
  <c r="D29" i="3" l="1"/>
  <c r="D25" i="3"/>
  <c r="D26" i="3"/>
  <c r="G62" i="3"/>
  <c r="D62" i="3"/>
  <c r="G135" i="3"/>
  <c r="G34" i="3"/>
  <c r="G51" i="3"/>
  <c r="D48" i="3"/>
  <c r="G94" i="3"/>
  <c r="G46" i="3"/>
  <c r="G37" i="3"/>
  <c r="G70" i="3"/>
  <c r="G28" i="3"/>
  <c r="G39" i="3"/>
  <c r="G69" i="3"/>
  <c r="D30" i="3"/>
  <c r="D95" i="3"/>
  <c r="G99" i="3"/>
  <c r="G38" i="3"/>
  <c r="G98" i="3"/>
  <c r="G40" i="3"/>
  <c r="G67" i="3"/>
  <c r="G26" i="3"/>
  <c r="G43" i="3"/>
  <c r="G55" i="3"/>
  <c r="G100" i="3"/>
  <c r="D34" i="3" l="1"/>
  <c r="D27" i="3"/>
  <c r="D35" i="3"/>
  <c r="G31" i="3"/>
  <c r="G24" i="3"/>
  <c r="G25" i="3"/>
  <c r="G23" i="3"/>
  <c r="G35" i="3"/>
  <c r="D28" i="3" l="1"/>
  <c r="G48" i="3"/>
  <c r="D49" i="3"/>
  <c r="G49" i="3"/>
</calcChain>
</file>

<file path=xl/sharedStrings.xml><?xml version="1.0" encoding="utf-8"?>
<sst xmlns="http://schemas.openxmlformats.org/spreadsheetml/2006/main" count="1410" uniqueCount="356">
  <si>
    <t>"УТВЕРЖДАЮ"</t>
  </si>
  <si>
    <t xml:space="preserve">Зам.генерального директора </t>
  </si>
  <si>
    <t>по идеологической работе и социальным вопросам                                                                          ОАО "Могилевхимволокно"</t>
  </si>
  <si>
    <t>_________________В.И.Зеньков</t>
  </si>
  <si>
    <t>апрель 2023 года</t>
  </si>
  <si>
    <t>ПРЕЙСКУРАНТ № 2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</si>
  <si>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</t>
    </r>
  </si>
  <si>
    <t>(без учета стоимости используемых материалов)</t>
  </si>
  <si>
    <t xml:space="preserve">санатория "Сосны" ОАО "Могилевхимволокно"   </t>
  </si>
  <si>
    <t>Вводится  07.04.2023г.</t>
  </si>
  <si>
    <t>№ п/п</t>
  </si>
  <si>
    <t>Наименование услуги</t>
  </si>
  <si>
    <t>Ед. измерения</t>
  </si>
  <si>
    <t>Для резидентов Республики Беларусь</t>
  </si>
  <si>
    <t>Стоимость материалов для резидентов и нерезидентов РБ (оплачивается заказчиком дополнительно)</t>
  </si>
  <si>
    <t>Для нерезидентов Республики Беларусь</t>
  </si>
  <si>
    <t>НДС</t>
  </si>
  <si>
    <t>Стоимость услуги,  (бел. руб.)</t>
  </si>
  <si>
    <t>в том числе НДС, (бел. руб.)</t>
  </si>
  <si>
    <t>Стоимость услуги,  (рос. руб.)</t>
  </si>
  <si>
    <t>Общая сумма , руб.</t>
  </si>
  <si>
    <t>Раздел 1.  Услуги по массажу</t>
  </si>
  <si>
    <t xml:space="preserve"> 1. Услуги по массажу, путем механического воздействия рук</t>
  </si>
  <si>
    <t xml:space="preserve"> 1.1</t>
  </si>
  <si>
    <t>процедура</t>
  </si>
  <si>
    <t>-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</si>
  <si>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</si>
  <si>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</si>
  <si>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</si>
  <si>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</si>
  <si>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</si>
  <si>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</si>
  <si>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</si>
  <si>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</si>
  <si>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</si>
  <si>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</si>
  <si>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</si>
  <si>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</si>
  <si>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</si>
  <si>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</si>
  <si>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</si>
  <si>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</si>
  <si>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</si>
  <si>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</si>
  <si>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</si>
  <si>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</si>
  <si>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</si>
  <si>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</si>
  <si>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</si>
  <si>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2. Вакуумный массаж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</si>
  <si>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</si>
  <si>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</si>
  <si>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</si>
  <si>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</si>
  <si>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</si>
  <si>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Директор санатория </t>
  </si>
  <si>
    <t>В.П.Симочков</t>
  </si>
  <si>
    <t>Главная медсестра</t>
  </si>
  <si>
    <t>Л.В.Алексеенко</t>
  </si>
  <si>
    <t xml:space="preserve">Вед. экономист санатория </t>
  </si>
  <si>
    <t>И.В.Бойцова</t>
  </si>
  <si>
    <t>Ведущий экономист управления по социальной работе</t>
  </si>
  <si>
    <t>Согласовано:</t>
  </si>
  <si>
    <t>Начальник управления по социальной работе</t>
  </si>
  <si>
    <t>по идеологической работе и социальным вопросам                     ОАО "Могилевхимволокно"</t>
  </si>
  <si>
    <t>_______________ В.И.Зеньков</t>
  </si>
  <si>
    <t>март 2023 года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</si>
  <si>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 </t>
    </r>
  </si>
  <si>
    <t>Вводится с  01.04.2023г.</t>
  </si>
  <si>
    <t>в т.ч. НДС, (бел. руб.)</t>
  </si>
  <si>
    <t>Общая сумма, руб.</t>
  </si>
  <si>
    <t>Раздел 2.  Услуги по акушерству и гинекологии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</si>
  <si>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</si>
  <si>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</si>
  <si>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</si>
  <si>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</si>
  <si>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</si>
  <si>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</si>
  <si>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2.7.</t>
  </si>
  <si>
    <t xml:space="preserve"> 2.8</t>
  </si>
  <si>
    <t xml:space="preserve"> 2.8.2</t>
  </si>
  <si>
    <t xml:space="preserve"> 2.9</t>
  </si>
  <si>
    <t>Зам. директора по мед.части</t>
  </si>
  <si>
    <t>Е.Д.Стрельцова</t>
  </si>
  <si>
    <t xml:space="preserve">Главная м/с </t>
  </si>
  <si>
    <t xml:space="preserve">Вед.экономист санатория </t>
  </si>
  <si>
    <t>по идеологической работе и социальным вопросам                                        ОАО "Могилевхимволокно"</t>
  </si>
  <si>
    <t>__________________В.И.Зеньков</t>
  </si>
  <si>
    <t>Общая сумма, руб</t>
  </si>
  <si>
    <t>Раздел 3.  Услуги по физиотерапии</t>
  </si>
  <si>
    <t>1.</t>
  </si>
  <si>
    <t>Электролечение</t>
  </si>
  <si>
    <t>2.</t>
  </si>
  <si>
    <t>Светолечение</t>
  </si>
  <si>
    <t>3.</t>
  </si>
  <si>
    <t>Воздействие факторами механической природы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</si>
  <si>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</si>
  <si>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</si>
  <si>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</si>
  <si>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</si>
  <si>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</si>
  <si>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4.</t>
  </si>
  <si>
    <t>Ингаляционная терапия</t>
  </si>
  <si>
    <t xml:space="preserve"> 4.1</t>
  </si>
  <si>
    <t xml:space="preserve"> 4.1.1</t>
  </si>
  <si>
    <t xml:space="preserve"> 4.1.2</t>
  </si>
  <si>
    <t xml:space="preserve"> 4.2</t>
  </si>
  <si>
    <t xml:space="preserve"> 4.3</t>
  </si>
  <si>
    <t>5.</t>
  </si>
  <si>
    <t>Гидротерапия</t>
  </si>
  <si>
    <t xml:space="preserve"> 5.1</t>
  </si>
  <si>
    <t xml:space="preserve"> 5.1.1</t>
  </si>
  <si>
    <t xml:space="preserve"> 5.2</t>
  </si>
  <si>
    <t xml:space="preserve"> 5.3</t>
  </si>
  <si>
    <t>взрослые</t>
  </si>
  <si>
    <t>дети</t>
  </si>
  <si>
    <t xml:space="preserve"> 5.4</t>
  </si>
  <si>
    <t xml:space="preserve"> 5.5</t>
  </si>
  <si>
    <t xml:space="preserve"> 5.6</t>
  </si>
  <si>
    <t>6.</t>
  </si>
  <si>
    <t>Бальнеотерапия</t>
  </si>
  <si>
    <t xml:space="preserve"> 6.1</t>
  </si>
  <si>
    <t xml:space="preserve"> 6.2</t>
  </si>
  <si>
    <t xml:space="preserve"> 6.3</t>
  </si>
  <si>
    <t>7.</t>
  </si>
  <si>
    <t>Термолечение</t>
  </si>
  <si>
    <t xml:space="preserve"> 7.1</t>
  </si>
  <si>
    <t xml:space="preserve"> 7.2</t>
  </si>
  <si>
    <t xml:space="preserve">Аппликации грязи, торфа, глины  </t>
  </si>
  <si>
    <t xml:space="preserve"> 7.2.1</t>
  </si>
  <si>
    <t xml:space="preserve"> 7.2.2</t>
  </si>
  <si>
    <t xml:space="preserve"> 7.3</t>
  </si>
  <si>
    <t xml:space="preserve"> 7.4</t>
  </si>
  <si>
    <t>на 1 человека</t>
  </si>
  <si>
    <t xml:space="preserve"> 7.5</t>
  </si>
  <si>
    <t>Директор санатория</t>
  </si>
  <si>
    <t>Главная м/с</t>
  </si>
  <si>
    <t>по идеологической работе и социальным вопросам                          ОАО "Могилевхимволокно"</t>
  </si>
  <si>
    <t>____________________В.И.Зеньков</t>
  </si>
  <si>
    <t>Раздел 4.  Прием врачами-специалистами</t>
  </si>
  <si>
    <t xml:space="preserve"> 1.</t>
  </si>
  <si>
    <t>Врач-невролог</t>
  </si>
  <si>
    <t>прием</t>
  </si>
  <si>
    <t xml:space="preserve"> 2.</t>
  </si>
  <si>
    <t>Врач-терапевт</t>
  </si>
  <si>
    <t xml:space="preserve"> 3.</t>
  </si>
  <si>
    <t>Врач-педиатр</t>
  </si>
  <si>
    <t>Первичный прием врача-педиатра</t>
  </si>
  <si>
    <t>Повторный прием врача-педиатра</t>
  </si>
  <si>
    <t>Зам.директора по мед.части</t>
  </si>
  <si>
    <t>март  2023 года</t>
  </si>
  <si>
    <t>ПРЕЙСКУРАНТ №2</t>
  </si>
  <si>
    <t>Вводится  01.04.2023г.</t>
  </si>
  <si>
    <t>Ед. измерения, мл</t>
  </si>
  <si>
    <t>в том числе НДС, (рос. руб.)</t>
  </si>
  <si>
    <t>Раздел 5.  Фитотерапия</t>
  </si>
  <si>
    <r>
      <rPr>
        <b/>
        <sz val="12"/>
        <rFont val="Arial Cyr"/>
        <charset val="204"/>
      </rPr>
      <t>Фиточай</t>
    </r>
    <r>
      <rPr>
        <sz val="12"/>
        <rFont val="Arial Cyr"/>
        <charset val="204"/>
      </rPr>
      <t xml:space="preserve"> </t>
    </r>
    <r>
      <rPr>
        <i/>
        <sz val="12"/>
        <rFont val="Arial Cyr"/>
        <charset val="204"/>
      </rPr>
      <t>(грудной, успокоительный, желудочный слизесодержащий, желудочный горечьсодержащий, слабительный, витаминный, печеночный, почечный, для снижения веса, противоаллергический, противоатеросклеротический, гипотензивный, противовоспалительный, сбор при заболевании предстательной железы, противодиабетический, при заболевании щитовидной  железы, противоревматоидный, кардиотонический)</t>
    </r>
  </si>
  <si>
    <t>Зам.директора по медицинской части</t>
  </si>
  <si>
    <t>Вед.экономист</t>
  </si>
  <si>
    <t>по идеологической работе и социальным вопросам                                               ОАО "Могилевхимволокно"</t>
  </si>
  <si>
    <t xml:space="preserve">                   Вводится  01.04.2023г.</t>
  </si>
  <si>
    <t>Раздел 6. Лечебная физкультура</t>
  </si>
  <si>
    <t xml:space="preserve">процедура </t>
  </si>
  <si>
    <t>М.С.Пузевич</t>
  </si>
  <si>
    <t>Раздел 7. Услуги по манипуляциям общего назначения</t>
  </si>
  <si>
    <t>Главная медицинская сестра</t>
  </si>
  <si>
    <t>июль 2023 года</t>
  </si>
  <si>
    <t xml:space="preserve">                   Вводится  17.07.2023г.</t>
  </si>
  <si>
    <t>Раздел 9. Услуги по рефлексотерапии</t>
  </si>
  <si>
    <t>Консультация</t>
  </si>
  <si>
    <t>сеанс</t>
  </si>
  <si>
    <t>Тестирование и оценка функционального состояния в рефлексотерапии</t>
  </si>
  <si>
    <t>Тестирование в рефлексотерапии</t>
  </si>
  <si>
    <t>2.1.1</t>
  </si>
  <si>
    <t>Оценка функционального состояния организма по характеристикам пульса</t>
  </si>
  <si>
    <t>2.1.1.1</t>
  </si>
  <si>
    <t>Выявление альгических точек (зон)</t>
  </si>
  <si>
    <t>2.2.1</t>
  </si>
  <si>
    <t>2.2.2</t>
  </si>
  <si>
    <t>2.2.3</t>
  </si>
  <si>
    <t>Выявление альгических точек (зон) на ушной раковине (аурикулярное тестирование)</t>
  </si>
  <si>
    <t>2.2.3.1</t>
  </si>
  <si>
    <t>Методы рефлексотерапии</t>
  </si>
  <si>
    <t>Вакуумрефлексотерапия</t>
  </si>
  <si>
    <t>3.4.1</t>
  </si>
  <si>
    <t>3.4.2</t>
  </si>
  <si>
    <t>Магнитопунктура</t>
  </si>
  <si>
    <t>3.12.1</t>
  </si>
  <si>
    <t>Магнитопунктура (аппликация источников магнитного поля на точки акупунктуры)</t>
  </si>
  <si>
    <t>3.13</t>
  </si>
  <si>
    <t>3.14</t>
  </si>
  <si>
    <t>3.15</t>
  </si>
  <si>
    <t>3.16</t>
  </si>
  <si>
    <t>добавить еще один раздел</t>
  </si>
  <si>
    <t>Директор</t>
  </si>
  <si>
    <t xml:space="preserve">Вед.экономист </t>
  </si>
  <si>
    <t>по идеологической работе  и социальным вопросам                              ОАО "Могилевхимволокно"</t>
  </si>
  <si>
    <t>июль 2023 год</t>
  </si>
  <si>
    <r>
      <t>отпускных цен на</t>
    </r>
    <r>
      <rPr>
        <b/>
        <u/>
        <sz val="14"/>
        <rFont val="Arial Cyr"/>
        <charset val="204"/>
      </rPr>
      <t xml:space="preserve"> платные медицинские услуги</t>
    </r>
  </si>
  <si>
    <t>Вводится  17.07.2023г.</t>
  </si>
  <si>
    <t>Раздел 10.  Услуги по лабораторной диагностике</t>
  </si>
  <si>
    <t>Гематологические исследования</t>
  </si>
  <si>
    <t>Общий анализ крови: определение гемоглобина гемоглобинцианидным методом, эритроцитов, скорости оседания эритроцитов, лейкоцитов</t>
  </si>
  <si>
    <t>проба</t>
  </si>
  <si>
    <t>исслед-ие</t>
  </si>
  <si>
    <t>пипетир-е</t>
  </si>
  <si>
    <t>Общий анализ крови: определение гемоглобина гемоглобинцианидным методом, эритроцитов, скорости оседания эритроцитов, лейкоцитов, приготовление препарата периферической крови для цитоморфологического исследования, микроскопический (морфологический) анализ</t>
  </si>
  <si>
    <t>регистрация</t>
  </si>
  <si>
    <t>Подсчет тромбоцитов</t>
  </si>
  <si>
    <t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t>
  </si>
  <si>
    <t>Биохимические исследования</t>
  </si>
  <si>
    <t>Проведение исследований с использованием одноканальных биохимических фотометров: определение глюкозы ферментативным методом</t>
  </si>
  <si>
    <t>Общеклинические лабораторные исследования</t>
  </si>
  <si>
    <t>Исследование мочи мануальными методами</t>
  </si>
  <si>
    <t>Исследование мочи мануальными методами при патологии (белок в моче)</t>
  </si>
  <si>
    <t>Исследование мочи методом Нечипоренко</t>
  </si>
  <si>
    <t>Исследование отделяемого мочеполовых органов (из уретры, цервикального канала, влагалища, секрета предстательной железы)</t>
  </si>
  <si>
    <t>Раздел 6.  Услуги по инструментальной диагностике</t>
  </si>
  <si>
    <t>Электрокардиографические исследования</t>
  </si>
  <si>
    <t>август 2022 года</t>
  </si>
  <si>
    <t xml:space="preserve">                   Вводится  10.08.2022г.</t>
  </si>
  <si>
    <t>Раздел 8. Услуги по стоматологии</t>
  </si>
  <si>
    <t>Общие стоматологические мероприятия</t>
  </si>
  <si>
    <t>1.1</t>
  </si>
  <si>
    <t>Стоматологические обследования и процедуры</t>
  </si>
  <si>
    <t>1.1.1</t>
  </si>
  <si>
    <t>Обследование</t>
  </si>
  <si>
    <t>1.1.2</t>
  </si>
  <si>
    <t>1.1.3</t>
  </si>
  <si>
    <t>Процедура</t>
  </si>
  <si>
    <t>1.1.4</t>
  </si>
  <si>
    <t>1.2.</t>
  </si>
  <si>
    <t>Профессиональная гигиена</t>
  </si>
  <si>
    <t>1.2.1</t>
  </si>
  <si>
    <t>Мотивация по факторам риска стоматологических заболеваний, обучение пациента чистке зубов</t>
  </si>
  <si>
    <t>1.2.2</t>
  </si>
  <si>
    <t>Покрытие одного зуба фторсодержащим или герметизирующим препаратом</t>
  </si>
  <si>
    <t>Манипуляция</t>
  </si>
  <si>
    <t>1.2.3</t>
  </si>
  <si>
    <t>Покрытие последующего зуба фторсодержащим или герметизирующим препаратом</t>
  </si>
  <si>
    <t>1.2.4</t>
  </si>
  <si>
    <t>Удаление зубного налета с одного зуба, очистка зуба</t>
  </si>
  <si>
    <t>1.2.5</t>
  </si>
  <si>
    <t>Инструментальное удаление зубных отложений с одного зуба (ручным инструментом)</t>
  </si>
  <si>
    <t>1.2.6</t>
  </si>
  <si>
    <t>Удаление зубных отложений ультразвуковым скейлером с одного зуба</t>
  </si>
  <si>
    <t>1.2.7</t>
  </si>
  <si>
    <t>Полирование одного зуба после снятия зубных отложений</t>
  </si>
  <si>
    <t>1.3.</t>
  </si>
  <si>
    <t>Анестезиологическая помощь</t>
  </si>
  <si>
    <t>1.3.1</t>
  </si>
  <si>
    <t>Инфильтрационная анестезия</t>
  </si>
  <si>
    <t>1.3.2</t>
  </si>
  <si>
    <t>Проводниковая анестезия</t>
  </si>
  <si>
    <t>1.3.3</t>
  </si>
  <si>
    <t>1.3.4</t>
  </si>
  <si>
    <t>1.4.</t>
  </si>
  <si>
    <t>Прочие общие стоматологические мероприятия</t>
  </si>
  <si>
    <t>1.4.1</t>
  </si>
  <si>
    <t>Наложение временной пломбы</t>
  </si>
  <si>
    <t>1.4.2</t>
  </si>
  <si>
    <t>Удаление одной прочнофиксированной пломбы</t>
  </si>
  <si>
    <t>1.4.3</t>
  </si>
  <si>
    <t>Удаление одной дефектной пломбы</t>
  </si>
  <si>
    <t>1.4.4</t>
  </si>
  <si>
    <t>Инстилляция (орошение) полости рта антисептиком</t>
  </si>
  <si>
    <t>1.4.5</t>
  </si>
  <si>
    <t>Ретракция десны одного зуба</t>
  </si>
  <si>
    <t>1.4.6</t>
  </si>
  <si>
    <t>Применение кровоостанавливающего средства</t>
  </si>
  <si>
    <t>1.4.7</t>
  </si>
  <si>
    <t>Коагуляция гипертрофированного десневого сосочка</t>
  </si>
  <si>
    <t>Стоматология терапевтическая (терапевтическое стоматологическое лечение)</t>
  </si>
  <si>
    <t>2.1</t>
  </si>
  <si>
    <t>Препарирование твердых тканей одного зуба при лечении кариеса (I, II, III, IV, V классы по Блэку) и некариозных заболеваний, возникших после прорезывания зубов с локализацией полостей независимо от поверхности</t>
  </si>
  <si>
    <t>Минимальное инвазивное препарирование кариозной полости</t>
  </si>
  <si>
    <t>2.1.2</t>
  </si>
  <si>
    <t>Препарирование кариозной полости при разрушении до 1/3 коронки зуба</t>
  </si>
  <si>
    <t>2.1.3</t>
  </si>
  <si>
    <t>Препарирование кариозной полости при разрушении до 1/2 коронки зуба</t>
  </si>
  <si>
    <t>2.1.4</t>
  </si>
  <si>
    <t>Препарирование кариозной полости при разрушении более 1/2 коронки зуба</t>
  </si>
  <si>
    <t>2.2</t>
  </si>
  <si>
    <t>Изготовление изолирующей прокладки</t>
  </si>
  <si>
    <t>Изготовление изолирующей прокладки из стеклоиономерного цемента</t>
  </si>
  <si>
    <t>Изготовление изолирующей фотоотверждаемой (композит, компомер, флоу) прокладки</t>
  </si>
  <si>
    <t>Изготовление изолирующей прокладки адгезивной системой</t>
  </si>
  <si>
    <t>2.2.4</t>
  </si>
  <si>
    <t>Изготовление кальцийсодержащей лечебной прокладки</t>
  </si>
  <si>
    <t>2.3</t>
  </si>
  <si>
    <t>Эндодонтическое лечение одного зуба при пульпите и апикальном периодонтите</t>
  </si>
  <si>
    <t>2.3.1</t>
  </si>
  <si>
    <t>Наложение девитализирующей пасты</t>
  </si>
  <si>
    <t>2.4</t>
  </si>
  <si>
    <t>Реставрация коронковой части одного зуба при лечении кариозной полости (I, II, III, IV, V  классы по Блэку) с локализацией полостей независимо от поверхности</t>
  </si>
  <si>
    <t>2.4.1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</si>
  <si>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</si>
  <si>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2.4.2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</si>
  <si>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</si>
  <si>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2.4.3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</si>
  <si>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</si>
  <si>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2.4.4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</si>
  <si>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</si>
  <si>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2.4.5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</si>
  <si>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раз-рушении до 1/2 коронки зуба</t>
  </si>
  <si>
    <t>2.4.6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</si>
  <si>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</si>
  <si>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2.4.7</t>
  </si>
  <si>
    <t>Виниринговое (прямое) покрытие коронковой части зуба (без стоимости пломбы)</t>
  </si>
  <si>
    <t>2.4.8</t>
  </si>
  <si>
    <t>Восстановление угла коронковой части зуба при отломе (без стоимости пломбы)</t>
  </si>
  <si>
    <t>2.4.9</t>
  </si>
  <si>
    <t>Восстановление угла коронковой части зуба при лечении кариеса и пульпита (без стоимости пломбы)</t>
  </si>
  <si>
    <t>2.4.10</t>
  </si>
  <si>
    <t>Полное восстановление анатомической формы коронковой части фронтального зуба (без стоимости пломбы)</t>
  </si>
  <si>
    <t>2.4.11</t>
  </si>
  <si>
    <t>Полное восстановление анатомической формы коронковой части жевательного зуба (без стоимости пломбы)</t>
  </si>
  <si>
    <t>2.4.12</t>
  </si>
  <si>
    <t>Наложение матрицы</t>
  </si>
  <si>
    <t>матрица металлическая</t>
  </si>
  <si>
    <t>матрица целлулоидная (лавсановая)</t>
  </si>
  <si>
    <t>2.4.13</t>
  </si>
  <si>
    <t>Установка межзубных клиньев</t>
  </si>
  <si>
    <t>2.4.14</t>
  </si>
  <si>
    <t>Шлифовка, полировка пломбы из фотоотверждаемого композиционного материала</t>
  </si>
  <si>
    <t>2.4.15</t>
  </si>
  <si>
    <t>Шлифовка, полировка пломбы из стеклоиономерного цемента</t>
  </si>
  <si>
    <t>2.4.16</t>
  </si>
  <si>
    <t>Герметизация пломбы</t>
  </si>
  <si>
    <t>2.5</t>
  </si>
  <si>
    <t>Применение инструментов, изделий и средств медицинского назначения, используемых при посещении пациента всех видов стоматологического лечения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</si>
  <si>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</si>
  <si>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</si>
  <si>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</si>
  <si>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</si>
  <si>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</si>
  <si>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</si>
  <si>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</si>
  <si>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</si>
  <si>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</si>
  <si>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 xml:space="preserve">Директор </t>
  </si>
  <si>
    <t>С.М.Феоктистов</t>
  </si>
  <si>
    <t>Главная мед.сестра</t>
  </si>
  <si>
    <t>Ведущий экономист</t>
  </si>
  <si>
    <t xml:space="preserve">                   Вводится  01.03.2023г.</t>
  </si>
  <si>
    <t>Раздел 11. Услуги по ультразвуковой диагностике</t>
  </si>
  <si>
    <t>Ультразвуковое исследование органов брюшной полости на цветных цифровых аппаратах с наличием сложного программного обеспечения (количество цифровых каналов более 512):</t>
  </si>
  <si>
    <t>Ультразвуковое исследование органов мочеполовой системы на цветных цифровых аппаратах с наличием сложного программного обеспечения (количество цифровых каналов более 512):</t>
  </si>
  <si>
    <t>Ультразвуковое исследование других органов на цветных цифровых аппаратах с наличием сложного программного обеспечения (количество цифровых каналов более 512):</t>
  </si>
  <si>
    <t xml:space="preserve"> 3.6</t>
  </si>
  <si>
    <t xml:space="preserve"> 3.7</t>
  </si>
  <si>
    <t xml:space="preserve"> 3.9</t>
  </si>
  <si>
    <t xml:space="preserve"> Специальные ультразвуковые исследования на цветных цифровых аппаратах с наличием сложного программного обеспечения (количество цифровых каналов более 512):</t>
  </si>
  <si>
    <t>Директор санатория "Сосны"</t>
  </si>
  <si>
    <t>Начальник отдела по социальной работе</t>
  </si>
  <si>
    <t>Ю.В.Масюк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</si>
</sst>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#,##0.0"/>
  </numFmts>
  <fonts count="3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sz val="20"/>
      <name val="Arial Cyr"/>
      <charset val="204"/>
    </font>
    <font>
      <sz val="12"/>
      <name val="Arial"/>
      <family val="2"/>
      <charset val="204"/>
    </font>
    <font>
      <sz val="12"/>
      <color indexed="9"/>
      <name val="Arial Cyr"/>
      <charset val="204"/>
    </font>
    <font>
      <b/>
      <sz val="12"/>
      <color indexed="9"/>
      <name val="Arial Cyr"/>
      <charset val="204"/>
    </font>
    <font>
      <b/>
      <sz val="10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u/>
      <sz val="14"/>
      <name val="Arial Cyr"/>
      <charset val="204"/>
    </font>
    <font>
      <b/>
      <u/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i/>
      <sz val="14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4"/>
      <name val="Arial"/>
      <family val="2"/>
      <charset val="204"/>
    </font>
    <font>
      <b/>
      <sz val="12"/>
      <color indexed="8"/>
      <name val="Arial Cyr"/>
      <charset val="204"/>
    </font>
    <font>
      <sz val="11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3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" fontId="1" fillId="2" borderId="15" xfId="0" applyNumberFormat="1" applyFont="1" applyFill="1" applyBorder="1" applyAlignment="1">
      <alignment horizontal="center" vertical="top"/>
    </xf>
    <xf numFmtId="0" fontId="1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4" fontId="2" fillId="0" borderId="17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vertical="top"/>
    </xf>
    <xf numFmtId="2" fontId="1" fillId="0" borderId="7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vertical="top" wrapText="1"/>
    </xf>
    <xf numFmtId="0" fontId="6" fillId="2" borderId="23" xfId="0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4" fontId="2" fillId="0" borderId="26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center" vertical="top"/>
    </xf>
    <xf numFmtId="3" fontId="1" fillId="0" borderId="25" xfId="0" applyNumberFormat="1" applyFont="1" applyFill="1" applyBorder="1" applyAlignment="1">
      <alignment horizontal="center" vertical="top"/>
    </xf>
    <xf numFmtId="16" fontId="1" fillId="2" borderId="21" xfId="0" applyNumberFormat="1" applyFont="1" applyFill="1" applyBorder="1" applyAlignment="1">
      <alignment horizontal="center" vertical="top"/>
    </xf>
    <xf numFmtId="3" fontId="1" fillId="2" borderId="22" xfId="0" applyNumberFormat="1" applyFont="1" applyFill="1" applyBorder="1" applyAlignment="1">
      <alignment vertical="top" wrapText="1"/>
    </xf>
    <xf numFmtId="0" fontId="1" fillId="2" borderId="27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4" fontId="2" fillId="0" borderId="31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4" fontId="2" fillId="0" borderId="33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4" fontId="2" fillId="0" borderId="30" xfId="0" applyNumberFormat="1" applyFont="1" applyFill="1" applyBorder="1" applyAlignment="1">
      <alignment horizontal="center" vertical="top"/>
    </xf>
    <xf numFmtId="3" fontId="1" fillId="0" borderId="32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vertical="top"/>
    </xf>
    <xf numFmtId="16" fontId="1" fillId="2" borderId="3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vertical="center"/>
    </xf>
    <xf numFmtId="16" fontId="1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top"/>
    </xf>
    <xf numFmtId="0" fontId="1" fillId="2" borderId="38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top"/>
    </xf>
    <xf numFmtId="4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1" fillId="0" borderId="43" xfId="0" applyNumberFormat="1" applyFont="1" applyFill="1" applyBorder="1" applyAlignment="1">
      <alignment horizontal="center" vertical="top"/>
    </xf>
    <xf numFmtId="0" fontId="1" fillId="0" borderId="36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/>
    </xf>
    <xf numFmtId="4" fontId="2" fillId="0" borderId="44" xfId="0" applyNumberFormat="1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vertical="top" wrapText="1"/>
    </xf>
    <xf numFmtId="16" fontId="1" fillId="0" borderId="2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7" fillId="0" borderId="22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5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vertical="top" wrapText="1"/>
    </xf>
    <xf numFmtId="4" fontId="2" fillId="0" borderId="42" xfId="0" applyNumberFormat="1" applyFont="1" applyFill="1" applyBorder="1" applyAlignment="1">
      <alignment horizontal="center" vertical="top"/>
    </xf>
    <xf numFmtId="4" fontId="2" fillId="0" borderId="46" xfId="0" applyNumberFormat="1" applyFont="1" applyFill="1" applyBorder="1" applyAlignment="1">
      <alignment horizontal="center" vertical="top"/>
    </xf>
    <xf numFmtId="4" fontId="2" fillId="0" borderId="47" xfId="0" applyNumberFormat="1" applyFont="1" applyFill="1" applyBorder="1" applyAlignment="1">
      <alignment horizontal="center" vertical="top"/>
    </xf>
    <xf numFmtId="16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8" xfId="0" applyFont="1" applyFill="1" applyBorder="1" applyAlignment="1">
      <alignment horizontal="centerContinuous" vertical="center" wrapText="1"/>
    </xf>
    <xf numFmtId="0" fontId="2" fillId="0" borderId="49" xfId="0" applyFont="1" applyFill="1" applyBorder="1" applyAlignment="1">
      <alignment horizontal="centerContinuous" vertical="center" wrapText="1"/>
    </xf>
    <xf numFmtId="0" fontId="1" fillId="0" borderId="35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16" fontId="1" fillId="0" borderId="21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vertical="center" wrapText="1"/>
    </xf>
    <xf numFmtId="16" fontId="1" fillId="0" borderId="28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4" fontId="2" fillId="3" borderId="26" xfId="0" applyNumberFormat="1" applyFont="1" applyFill="1" applyBorder="1" applyAlignment="1">
      <alignment horizontal="center" vertical="center"/>
    </xf>
    <xf numFmtId="4" fontId="2" fillId="3" borderId="24" xfId="0" applyNumberFormat="1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" fillId="0" borderId="22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16" fontId="1" fillId="0" borderId="22" xfId="0" applyNumberFormat="1" applyFont="1" applyBorder="1" applyAlignment="1">
      <alignment horizontal="center" vertical="center"/>
    </xf>
    <xf numFmtId="0" fontId="10" fillId="0" borderId="0" xfId="0" applyFont="1" applyFill="1" applyBorder="1"/>
    <xf numFmtId="0" fontId="11" fillId="3" borderId="22" xfId="0" applyFont="1" applyFill="1" applyBorder="1" applyAlignment="1">
      <alignment horizontal="left" vertical="center" wrapText="1"/>
    </xf>
    <xf numFmtId="4" fontId="12" fillId="3" borderId="6" xfId="0" applyNumberFormat="1" applyFont="1" applyFill="1" applyBorder="1" applyAlignment="1">
      <alignment horizontal="center" vertical="center"/>
    </xf>
    <xf numFmtId="4" fontId="12" fillId="3" borderId="33" xfId="0" applyNumberFormat="1" applyFont="1" applyFill="1" applyBorder="1" applyAlignment="1">
      <alignment horizontal="center" vertical="center"/>
    </xf>
    <xf numFmtId="4" fontId="12" fillId="3" borderId="24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" fontId="1" fillId="0" borderId="36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2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" fontId="1" fillId="0" borderId="43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44" xfId="0" applyFont="1" applyBorder="1" applyAlignment="1">
      <alignment horizontal="centerContinuous" vertical="center" wrapText="1"/>
    </xf>
    <xf numFmtId="16" fontId="1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Continuous" vertical="center" wrapText="1"/>
    </xf>
    <xf numFmtId="4" fontId="2" fillId="0" borderId="53" xfId="0" applyNumberFormat="1" applyFont="1" applyFill="1" applyBorder="1" applyAlignment="1">
      <alignment horizontal="centerContinuous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4" fontId="1" fillId="0" borderId="55" xfId="0" applyNumberFormat="1" applyFont="1" applyFill="1" applyBorder="1" applyAlignment="1">
      <alignment horizontal="centerContinuous" vertical="center" wrapText="1"/>
    </xf>
    <xf numFmtId="4" fontId="2" fillId="0" borderId="24" xfId="0" applyNumberFormat="1" applyFont="1" applyFill="1" applyBorder="1" applyAlignment="1">
      <alignment horizontal="centerContinuous" vertical="center" wrapText="1"/>
    </xf>
    <xf numFmtId="16" fontId="1" fillId="0" borderId="21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3" borderId="0" xfId="0" applyFont="1" applyFill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34" xfId="0" applyFont="1" applyFill="1" applyBorder="1" applyAlignment="1">
      <alignment horizontal="centerContinuous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Continuous" vertical="center" wrapText="1"/>
    </xf>
    <xf numFmtId="4" fontId="2" fillId="0" borderId="57" xfId="0" applyNumberFormat="1" applyFont="1" applyFill="1" applyBorder="1" applyAlignment="1">
      <alignment horizontal="centerContinuous" vertical="center" wrapText="1"/>
    </xf>
    <xf numFmtId="3" fontId="2" fillId="0" borderId="57" xfId="0" applyNumberFormat="1" applyFont="1" applyFill="1" applyBorder="1" applyAlignment="1">
      <alignment horizontal="centerContinuous" vertical="center" wrapText="1"/>
    </xf>
    <xf numFmtId="3" fontId="2" fillId="0" borderId="58" xfId="0" applyNumberFormat="1" applyFont="1" applyFill="1" applyBorder="1" applyAlignment="1">
      <alignment horizontal="centerContinuous" vertical="center" wrapText="1"/>
    </xf>
    <xf numFmtId="3" fontId="2" fillId="3" borderId="23" xfId="0" applyNumberFormat="1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Continuous" vertical="center" wrapText="1"/>
    </xf>
    <xf numFmtId="3" fontId="2" fillId="0" borderId="51" xfId="0" applyNumberFormat="1" applyFont="1" applyFill="1" applyBorder="1" applyAlignment="1">
      <alignment horizontal="centerContinuous" vertical="center" wrapText="1"/>
    </xf>
    <xf numFmtId="4" fontId="2" fillId="0" borderId="59" xfId="0" applyNumberFormat="1" applyFont="1" applyFill="1" applyBorder="1" applyAlignment="1">
      <alignment horizontal="centerContinuous" vertical="center" wrapText="1"/>
    </xf>
    <xf numFmtId="3" fontId="2" fillId="0" borderId="59" xfId="0" applyNumberFormat="1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>
      <alignment horizontal="centerContinuous" vertical="center" wrapText="1"/>
    </xf>
    <xf numFmtId="3" fontId="2" fillId="0" borderId="11" xfId="0" applyNumberFormat="1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3" fontId="2" fillId="0" borderId="6" xfId="0" applyNumberFormat="1" applyFont="1" applyFill="1" applyBorder="1" applyAlignment="1">
      <alignment horizontal="centerContinuous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Continuous" vertical="center" wrapText="1"/>
    </xf>
    <xf numFmtId="3" fontId="2" fillId="0" borderId="60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Continuous" vertical="center" wrapText="1"/>
    </xf>
    <xf numFmtId="2" fontId="1" fillId="0" borderId="6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3" fontId="2" fillId="0" borderId="52" xfId="0" applyNumberFormat="1" applyFont="1" applyFill="1" applyBorder="1" applyAlignment="1">
      <alignment horizontal="centerContinuous" vertical="center" wrapText="1"/>
    </xf>
    <xf numFmtId="4" fontId="2" fillId="0" borderId="62" xfId="0" applyNumberFormat="1" applyFont="1" applyFill="1" applyBorder="1" applyAlignment="1">
      <alignment horizontal="centerContinuous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Continuous" vertical="center" wrapText="1"/>
    </xf>
    <xf numFmtId="3" fontId="2" fillId="0" borderId="49" xfId="0" applyNumberFormat="1" applyFont="1" applyFill="1" applyBorder="1" applyAlignment="1">
      <alignment horizontal="centerContinuous" vertical="center" wrapText="1"/>
    </xf>
    <xf numFmtId="0" fontId="2" fillId="0" borderId="5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/>
    <xf numFmtId="0" fontId="17" fillId="0" borderId="7" xfId="0" applyFont="1" applyFill="1" applyBorder="1" applyAlignment="1"/>
    <xf numFmtId="0" fontId="17" fillId="0" borderId="0" xfId="0" applyFont="1" applyBorder="1" applyAlignment="1"/>
    <xf numFmtId="164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Continuous" vertical="center" wrapText="1"/>
    </xf>
    <xf numFmtId="4" fontId="2" fillId="0" borderId="66" xfId="0" applyNumberFormat="1" applyFont="1" applyFill="1" applyBorder="1" applyAlignment="1">
      <alignment horizontal="centerContinuous" vertical="center" wrapText="1"/>
    </xf>
    <xf numFmtId="3" fontId="2" fillId="0" borderId="35" xfId="0" applyNumberFormat="1" applyFont="1" applyFill="1" applyBorder="1" applyAlignment="1">
      <alignment horizontal="centerContinuous"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3" fontId="2" fillId="0" borderId="40" xfId="0" applyNumberFormat="1" applyFont="1" applyFill="1" applyBorder="1" applyAlignment="1">
      <alignment horizontal="centerContinuous" vertical="center" wrapText="1"/>
    </xf>
    <xf numFmtId="4" fontId="2" fillId="0" borderId="67" xfId="0" applyNumberFormat="1" applyFont="1" applyFill="1" applyBorder="1" applyAlignment="1">
      <alignment horizontal="centerContinuous" vertical="center" wrapText="1"/>
    </xf>
    <xf numFmtId="3" fontId="2" fillId="0" borderId="68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Continuous" vertical="center" wrapText="1"/>
    </xf>
    <xf numFmtId="0" fontId="2" fillId="0" borderId="56" xfId="0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Continuous" vertical="center" wrapText="1"/>
    </xf>
    <xf numFmtId="3" fontId="2" fillId="0" borderId="64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3" fontId="2" fillId="0" borderId="37" xfId="0" applyNumberFormat="1" applyFont="1" applyFill="1" applyBorder="1" applyAlignment="1">
      <alignment horizontal="centerContinuous" vertical="center" wrapText="1"/>
    </xf>
    <xf numFmtId="3" fontId="2" fillId="0" borderId="70" xfId="0" applyNumberFormat="1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Continuous" vertical="center" wrapText="1"/>
    </xf>
    <xf numFmtId="49" fontId="1" fillId="0" borderId="38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Continuous" vertical="center" wrapText="1"/>
    </xf>
    <xf numFmtId="4" fontId="2" fillId="0" borderId="72" xfId="0" applyNumberFormat="1" applyFont="1" applyFill="1" applyBorder="1" applyAlignment="1">
      <alignment horizontal="centerContinuous" vertical="center" wrapText="1"/>
    </xf>
    <xf numFmtId="3" fontId="2" fillId="0" borderId="73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Continuous" vertical="center" wrapText="1"/>
    </xf>
    <xf numFmtId="164" fontId="1" fillId="0" borderId="3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Continuous" vertical="center" wrapText="1"/>
    </xf>
    <xf numFmtId="3" fontId="2" fillId="0" borderId="74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Continuous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4" fontId="2" fillId="0" borderId="6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Continuous" vertical="center"/>
    </xf>
    <xf numFmtId="0" fontId="20" fillId="3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Continuous" vertical="center" wrapText="1"/>
    </xf>
    <xf numFmtId="0" fontId="20" fillId="0" borderId="2" xfId="0" applyFont="1" applyFill="1" applyBorder="1" applyAlignment="1">
      <alignment horizontal="centerContinuous" vertical="center" wrapText="1"/>
    </xf>
    <xf numFmtId="0" fontId="20" fillId="0" borderId="34" xfId="0" applyFont="1" applyFill="1" applyBorder="1" applyAlignment="1">
      <alignment horizontal="centerContinuous" vertical="center" wrapText="1"/>
    </xf>
    <xf numFmtId="0" fontId="20" fillId="0" borderId="50" xfId="0" applyFont="1" applyFill="1" applyBorder="1" applyAlignment="1">
      <alignment horizontal="centerContinuous" vertical="center" wrapText="1"/>
    </xf>
    <xf numFmtId="0" fontId="20" fillId="0" borderId="49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3" borderId="55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Continuous" vertical="center" wrapText="1"/>
    </xf>
    <xf numFmtId="0" fontId="20" fillId="0" borderId="13" xfId="0" applyFont="1" applyFill="1" applyBorder="1" applyAlignment="1">
      <alignment horizontal="centerContinuous" vertical="center" wrapText="1"/>
    </xf>
    <xf numFmtId="0" fontId="20" fillId="0" borderId="76" xfId="0" applyFont="1" applyFill="1" applyBorder="1" applyAlignment="1">
      <alignment horizontal="centerContinuous" vertical="center" wrapText="1"/>
    </xf>
    <xf numFmtId="0" fontId="19" fillId="0" borderId="58" xfId="0" applyFont="1" applyFill="1" applyBorder="1" applyAlignment="1">
      <alignment horizontal="centerContinuous" vertical="center" wrapText="1"/>
    </xf>
    <xf numFmtId="0" fontId="19" fillId="0" borderId="14" xfId="0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Continuous" vertical="center" wrapText="1"/>
    </xf>
    <xf numFmtId="0" fontId="19" fillId="3" borderId="35" xfId="0" applyFont="1" applyFill="1" applyBorder="1" applyAlignment="1">
      <alignment vertical="center" wrapText="1"/>
    </xf>
    <xf numFmtId="16" fontId="20" fillId="0" borderId="56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center" vertical="center"/>
    </xf>
    <xf numFmtId="3" fontId="25" fillId="0" borderId="58" xfId="0" applyNumberFormat="1" applyFont="1" applyFill="1" applyBorder="1" applyAlignment="1">
      <alignment horizontal="center" vertical="center"/>
    </xf>
    <xf numFmtId="4" fontId="20" fillId="0" borderId="56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vertical="center"/>
    </xf>
    <xf numFmtId="4" fontId="20" fillId="0" borderId="76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74" xfId="0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16" fontId="19" fillId="0" borderId="43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center" vertical="center"/>
    </xf>
    <xf numFmtId="3" fontId="25" fillId="0" borderId="70" xfId="0" applyNumberFormat="1" applyFont="1" applyFill="1" applyBorder="1" applyAlignment="1">
      <alignment horizontal="center" vertical="center"/>
    </xf>
    <xf numFmtId="4" fontId="25" fillId="0" borderId="36" xfId="0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>
      <alignment horizontal="center" vertical="center"/>
    </xf>
    <xf numFmtId="4" fontId="25" fillId="0" borderId="66" xfId="0" applyNumberFormat="1" applyFont="1" applyFill="1" applyBorder="1" applyAlignment="1">
      <alignment horizontal="center" vertical="center"/>
    </xf>
    <xf numFmtId="3" fontId="19" fillId="0" borderId="44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" fontId="19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 wrapText="1"/>
    </xf>
    <xf numFmtId="0" fontId="25" fillId="0" borderId="23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16" fontId="19" fillId="0" borderId="21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/>
    </xf>
    <xf numFmtId="3" fontId="25" fillId="0" borderId="74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center" vertical="center"/>
    </xf>
    <xf numFmtId="4" fontId="25" fillId="0" borderId="7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16" fontId="19" fillId="0" borderId="45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right" vertical="center" wrapText="1"/>
    </xf>
    <xf numFmtId="0" fontId="25" fillId="0" borderId="39" xfId="0" applyFont="1" applyBorder="1" applyAlignment="1">
      <alignment horizontal="center" vertical="center" wrapText="1"/>
    </xf>
    <xf numFmtId="4" fontId="25" fillId="0" borderId="45" xfId="0" applyNumberFormat="1" applyFont="1" applyBorder="1" applyAlignment="1">
      <alignment horizontal="center" vertical="center"/>
    </xf>
    <xf numFmtId="3" fontId="25" fillId="0" borderId="68" xfId="0" applyNumberFormat="1" applyFont="1" applyBorder="1" applyAlignment="1">
      <alignment horizontal="center" vertical="center"/>
    </xf>
    <xf numFmtId="4" fontId="25" fillId="0" borderId="38" xfId="0" applyNumberFormat="1" applyFont="1" applyFill="1" applyBorder="1" applyAlignment="1">
      <alignment horizontal="center" vertical="center"/>
    </xf>
    <xf numFmtId="4" fontId="25" fillId="0" borderId="40" xfId="0" applyNumberFormat="1" applyFont="1" applyBorder="1" applyAlignment="1">
      <alignment horizontal="center" vertical="center"/>
    </xf>
    <xf numFmtId="4" fontId="25" fillId="0" borderId="67" xfId="0" applyNumberFormat="1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4" fontId="27" fillId="0" borderId="56" xfId="0" applyNumberFormat="1" applyFont="1" applyFill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" fontId="27" fillId="0" borderId="76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16" fontId="19" fillId="0" borderId="43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 wrapText="1"/>
    </xf>
    <xf numFmtId="4" fontId="25" fillId="0" borderId="43" xfId="0" applyNumberFormat="1" applyFont="1" applyBorder="1" applyAlignment="1">
      <alignment horizontal="center" vertical="center"/>
    </xf>
    <xf numFmtId="3" fontId="25" fillId="0" borderId="70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4" fontId="25" fillId="0" borderId="66" xfId="0" applyNumberFormat="1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4" fontId="25" fillId="0" borderId="75" xfId="0" applyNumberFormat="1" applyFont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 vertical="center"/>
    </xf>
    <xf numFmtId="16" fontId="20" fillId="0" borderId="56" xfId="0" applyNumberFormat="1" applyFont="1" applyBorder="1" applyAlignment="1">
      <alignment horizontal="center" vertical="center"/>
    </xf>
    <xf numFmtId="0" fontId="24" fillId="0" borderId="56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center" vertical="center"/>
    </xf>
    <xf numFmtId="3" fontId="20" fillId="0" borderId="58" xfId="0" applyNumberFormat="1" applyFont="1" applyBorder="1" applyAlignment="1">
      <alignment horizontal="center" vertical="center"/>
    </xf>
    <xf numFmtId="4" fontId="20" fillId="0" borderId="65" xfId="0" applyNumberFormat="1" applyFont="1" applyFill="1" applyBorder="1" applyAlignment="1">
      <alignment horizontal="center" vertical="center"/>
    </xf>
    <xf numFmtId="4" fontId="20" fillId="0" borderId="76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16" fontId="19" fillId="0" borderId="16" xfId="0" applyNumberFormat="1" applyFont="1" applyBorder="1" applyAlignment="1">
      <alignment horizontal="center" vertical="center"/>
    </xf>
    <xf numFmtId="0" fontId="26" fillId="0" borderId="77" xfId="0" applyFont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horizontal="center" vertical="center"/>
    </xf>
    <xf numFmtId="4" fontId="25" fillId="0" borderId="75" xfId="0" applyNumberFormat="1" applyFont="1" applyFill="1" applyBorder="1" applyAlignment="1">
      <alignment horizontal="center" vertical="center"/>
    </xf>
    <xf numFmtId="4" fontId="25" fillId="0" borderId="78" xfId="0" applyNumberFormat="1" applyFont="1" applyBorder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3" fontId="19" fillId="0" borderId="55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16" fontId="19" fillId="0" borderId="22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/>
    </xf>
    <xf numFmtId="3" fontId="25" fillId="0" borderId="32" xfId="0" applyNumberFormat="1" applyFont="1" applyBorder="1" applyAlignment="1">
      <alignment horizontal="center" vertical="center"/>
    </xf>
    <xf numFmtId="4" fontId="25" fillId="0" borderId="74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16" fontId="19" fillId="0" borderId="29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right" vertical="center" wrapText="1"/>
    </xf>
    <xf numFmtId="0" fontId="25" fillId="0" borderId="29" xfId="0" applyFont="1" applyBorder="1" applyAlignment="1">
      <alignment horizontal="center" vertical="center" wrapText="1"/>
    </xf>
    <xf numFmtId="4" fontId="25" fillId="0" borderId="30" xfId="0" applyNumberFormat="1" applyFont="1" applyBorder="1" applyAlignment="1">
      <alignment horizontal="center" vertical="center"/>
    </xf>
    <xf numFmtId="3" fontId="25" fillId="0" borderId="41" xfId="0" applyNumberFormat="1" applyFont="1" applyBorder="1" applyAlignment="1">
      <alignment horizontal="center" vertical="center"/>
    </xf>
    <xf numFmtId="4" fontId="25" fillId="0" borderId="79" xfId="0" applyNumberFormat="1" applyFont="1" applyFill="1" applyBorder="1" applyAlignment="1">
      <alignment horizontal="center" vertical="center"/>
    </xf>
    <xf numFmtId="4" fontId="25" fillId="0" borderId="80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Continuous" vertical="center" wrapText="1"/>
    </xf>
    <xf numFmtId="0" fontId="20" fillId="0" borderId="57" xfId="0" applyFont="1" applyBorder="1" applyAlignment="1">
      <alignment horizontal="centerContinuous" vertical="center" wrapText="1"/>
    </xf>
    <xf numFmtId="0" fontId="19" fillId="0" borderId="58" xfId="0" applyFont="1" applyBorder="1" applyAlignment="1">
      <alignment horizontal="centerContinuous" vertical="center" wrapText="1"/>
    </xf>
    <xf numFmtId="0" fontId="19" fillId="0" borderId="14" xfId="0" applyFont="1" applyBorder="1" applyAlignment="1">
      <alignment horizontal="centerContinuous" vertical="center" wrapText="1"/>
    </xf>
    <xf numFmtId="0" fontId="20" fillId="0" borderId="76" xfId="0" applyFont="1" applyBorder="1" applyAlignment="1">
      <alignment horizontal="centerContinuous" vertical="center" wrapText="1"/>
    </xf>
    <xf numFmtId="0" fontId="20" fillId="0" borderId="14" xfId="0" applyFont="1" applyBorder="1" applyAlignment="1">
      <alignment horizontal="centerContinuous" vertical="center" wrapText="1"/>
    </xf>
    <xf numFmtId="0" fontId="19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4" fontId="24" fillId="0" borderId="50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24" fillId="0" borderId="55" xfId="0" applyFont="1" applyBorder="1" applyAlignment="1">
      <alignment vertical="center" wrapText="1"/>
    </xf>
    <xf numFmtId="0" fontId="19" fillId="0" borderId="43" xfId="0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4" fontId="25" fillId="0" borderId="52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3" fontId="19" fillId="0" borderId="69" xfId="0" applyNumberFormat="1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4" fontId="20" fillId="0" borderId="58" xfId="0" applyNumberFormat="1" applyFont="1" applyBorder="1" applyAlignment="1">
      <alignment horizontal="center" vertical="center"/>
    </xf>
    <xf numFmtId="4" fontId="20" fillId="0" borderId="76" xfId="0" applyNumberFormat="1" applyFont="1" applyFill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4" fontId="25" fillId="0" borderId="39" xfId="0" applyNumberFormat="1" applyFont="1" applyBorder="1" applyAlignment="1">
      <alignment horizontal="center" vertical="center"/>
    </xf>
    <xf numFmtId="16" fontId="20" fillId="0" borderId="12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vertical="center" wrapText="1"/>
    </xf>
    <xf numFmtId="4" fontId="19" fillId="0" borderId="13" xfId="0" applyNumberFormat="1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/>
    </xf>
    <xf numFmtId="4" fontId="25" fillId="0" borderId="54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5" fillId="0" borderId="50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right" vertical="center" wrapText="1"/>
    </xf>
    <xf numFmtId="4" fontId="25" fillId="0" borderId="28" xfId="0" applyNumberFormat="1" applyFont="1" applyBorder="1" applyAlignment="1">
      <alignment horizontal="center" vertical="center"/>
    </xf>
    <xf numFmtId="4" fontId="25" fillId="0" borderId="32" xfId="0" applyNumberFormat="1" applyFont="1" applyBorder="1" applyAlignment="1">
      <alignment horizontal="center" vertical="center"/>
    </xf>
    <xf numFmtId="4" fontId="25" fillId="0" borderId="31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right" vertical="center" wrapText="1"/>
    </xf>
    <xf numFmtId="0" fontId="25" fillId="0" borderId="38" xfId="0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vertical="center" wrapText="1"/>
    </xf>
    <xf numFmtId="4" fontId="24" fillId="0" borderId="56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4" fontId="24" fillId="0" borderId="76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3" fontId="25" fillId="0" borderId="36" xfId="0" applyNumberFormat="1" applyFont="1" applyBorder="1" applyAlignment="1">
      <alignment horizontal="right" vertical="center" wrapText="1"/>
    </xf>
    <xf numFmtId="4" fontId="25" fillId="0" borderId="36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right" vertical="center" wrapText="1"/>
    </xf>
    <xf numFmtId="4" fontId="25" fillId="0" borderId="22" xfId="0" applyNumberFormat="1" applyFont="1" applyBorder="1" applyAlignment="1">
      <alignment horizontal="center" vertical="center"/>
    </xf>
    <xf numFmtId="3" fontId="25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Continuous" vertical="center" wrapText="1"/>
    </xf>
    <xf numFmtId="0" fontId="20" fillId="0" borderId="58" xfId="0" applyFont="1" applyFill="1" applyBorder="1" applyAlignment="1">
      <alignment horizontal="centerContinuous" vertical="center" wrapText="1"/>
    </xf>
    <xf numFmtId="0" fontId="19" fillId="0" borderId="5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centerContinuous" vertical="center" wrapText="1"/>
    </xf>
    <xf numFmtId="0" fontId="19" fillId="0" borderId="55" xfId="0" applyFont="1" applyFill="1" applyBorder="1" applyAlignment="1">
      <alignment horizontal="centerContinuous" vertical="center" wrapText="1"/>
    </xf>
    <xf numFmtId="0" fontId="20" fillId="0" borderId="35" xfId="0" applyFont="1" applyFill="1" applyBorder="1" applyAlignment="1">
      <alignment horizontal="centerContinuous" vertical="center" wrapText="1"/>
    </xf>
    <xf numFmtId="0" fontId="20" fillId="0" borderId="56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0" fillId="0" borderId="58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4" fontId="20" fillId="3" borderId="76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3" fontId="19" fillId="0" borderId="58" xfId="0" applyNumberFormat="1" applyFont="1" applyFill="1" applyBorder="1" applyAlignment="1">
      <alignment horizontal="center" vertical="center"/>
    </xf>
    <xf numFmtId="3" fontId="20" fillId="3" borderId="69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3" fontId="27" fillId="0" borderId="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0" fontId="1" fillId="0" borderId="6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justify" vertical="center" wrapText="1"/>
    </xf>
    <xf numFmtId="0" fontId="30" fillId="0" borderId="5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Continuous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Continuous" vertical="center" wrapText="1"/>
    </xf>
    <xf numFmtId="0" fontId="30" fillId="0" borderId="56" xfId="0" applyFont="1" applyFill="1" applyBorder="1" applyAlignment="1">
      <alignment vertical="center" wrapText="1"/>
    </xf>
    <xf numFmtId="4" fontId="2" fillId="0" borderId="76" xfId="0" applyNumberFormat="1" applyFont="1" applyFill="1" applyBorder="1" applyAlignment="1">
      <alignment horizontal="centerContinuous" vertical="center" wrapText="1"/>
    </xf>
    <xf numFmtId="0" fontId="29" fillId="0" borderId="5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Continuous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justify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justify" vertical="center" wrapText="1"/>
    </xf>
    <xf numFmtId="0" fontId="30" fillId="0" borderId="9" xfId="0" applyFont="1" applyFill="1" applyBorder="1" applyAlignment="1">
      <alignment horizontal="center" vertical="center" wrapText="1"/>
    </xf>
    <xf numFmtId="3" fontId="2" fillId="0" borderId="72" xfId="0" applyNumberFormat="1" applyFont="1" applyFill="1" applyBorder="1" applyAlignment="1">
      <alignment horizontal="center" vertical="center" wrapText="1"/>
    </xf>
    <xf numFmtId="3" fontId="2" fillId="0" borderId="72" xfId="0" applyNumberFormat="1" applyFont="1" applyFill="1" applyBorder="1" applyAlignment="1">
      <alignment horizontal="centerContinuous" vertical="center" wrapText="1"/>
    </xf>
    <xf numFmtId="0" fontId="30" fillId="0" borderId="56" xfId="0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3" fontId="30" fillId="0" borderId="57" xfId="0" applyNumberFormat="1" applyFont="1" applyFill="1" applyBorder="1" applyAlignment="1">
      <alignment horizontal="justify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Continuous" vertical="center" wrapText="1"/>
    </xf>
    <xf numFmtId="3" fontId="2" fillId="3" borderId="65" xfId="0" applyNumberFormat="1" applyFont="1" applyFill="1" applyBorder="1" applyAlignment="1">
      <alignment horizontal="centerContinuous" vertical="center" wrapText="1"/>
    </xf>
    <xf numFmtId="4" fontId="1" fillId="0" borderId="0" xfId="0" applyNumberFormat="1" applyFont="1" applyAlignment="1">
      <alignment vertical="center" wrapText="1"/>
    </xf>
    <xf numFmtId="3" fontId="2" fillId="3" borderId="52" xfId="0" applyNumberFormat="1" applyFont="1" applyFill="1" applyBorder="1" applyAlignment="1">
      <alignment horizontal="centerContinuous" vertical="center" wrapText="1"/>
    </xf>
    <xf numFmtId="3" fontId="2" fillId="3" borderId="48" xfId="0" applyNumberFormat="1" applyFont="1" applyFill="1" applyBorder="1" applyAlignment="1">
      <alignment horizontal="centerContinuous" vertical="center" wrapText="1"/>
    </xf>
    <xf numFmtId="3" fontId="2" fillId="3" borderId="13" xfId="0" applyNumberFormat="1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16" fontId="2" fillId="0" borderId="56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1" fillId="0" borderId="56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55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55;&#1083;&#1072;&#1090;&#1085;&#1099;&#1077;%20&#1091;&#1089;&#1083;&#1091;&#1075;&#1080;%20&#1084;&#1072;&#1089;&#1089;&#1072;&#1078;&#1072;%20%2004-202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55;&#1083;&#1072;&#1090;&#1085;&#1099;&#1077;%20&#1091;&#1089;&#1083;&#1091;&#1075;&#1080;%20&#1087;&#1086;%20&#1088;&#1077;&#1092;&#1083;&#1077;&#1082;&#1089;&#1086;&#1090;&#1077;&#1088;&#1072;&#1087;&#1080;&#1080;%2005-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ytsova-i\Desktop\2016\&#1056;&#1077;&#1092;&#1083;&#1077;&#1082;&#1089;&#1086;&#1090;&#1077;&#1088;&#1072;&#1087;&#1080;&#1103;%2002-2022\&#1055;&#1083;&#1072;&#1090;&#1085;&#1099;&#1077;%20&#1091;&#1089;&#1083;&#1091;&#1075;&#1080;%20&#1087;&#1086;%20&#1088;&#1077;&#1092;&#1083;&#1077;&#1082;&#1089;&#1086;&#1090;&#1077;&#1088;&#1072;&#1087;&#1080;&#1080;%2002-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ytsova-i\Desktop\2016\&#1052;&#1077;&#1076;&#1080;&#1094;&#1080;&#1085;&#1089;&#1082;&#1080;&#1077;%20&#1091;&#1089;&#1083;&#1091;&#1075;&#1080;%2003-2021\&#1055;&#1083;&#1072;&#1090;&#1085;&#1099;&#1077;%20&#1091;&#1089;&#1083;&#1091;&#1075;&#1080;%20&#1076;&#1080;&#1072;&#1075;&#1085;&#1086;&#1089;&#1090;&#1080;&#1082;&#1072;%2003-20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55;&#1083;&#1072;&#1090;&#1085;&#1099;&#1077;%20&#1091;&#1089;&#1083;&#1091;&#1075;&#1080;%20&#1076;&#1080;&#1072;&#1075;&#1085;&#1086;&#1089;&#1090;&#1080;&#1082;&#1072;%2005-2023,%20&#1090;&#1086;&#1083;&#1100;&#1082;&#1086;%20&#1082;&#1072;&#1088;&#1076;&#1080;&#1086;&#1075;&#1088;&#1072;&#1084;&#1084;&#1091;%20&#1087;&#1077;&#1088;&#1077;&#1089;&#1095;&#1080;&#1090;&#1099;&#1074;&#1072;&#110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03-2022\&#1059;&#1089;&#1083;&#1091;&#1075;&#1080;%20&#1087;&#1086;%20&#1089;&#1090;&#1086;&#1084;&#1072;&#1090;&#1086;&#1083;&#1086;&#1075;&#1080;&#1080;%2007-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9;&#1083;&#1100;&#1090;&#1088;&#1072;&#1079;&#1074;&#1091;&#1082;&#1086;&#1074;&#1072;&#1103;%20&#1076;&#1080;&#1072;&#1075;&#1085;&#1086;&#1089;&#1090;&#1080;&#1082;&#1072;%202022\&#1059;&#1089;&#1083;&#1091;&#1075;&#1080;%20&#1087;&#1086;%20&#1091;&#1083;&#1100;&#1090;&#1088;&#1072;&#1079;&#1074;&#1091;&#1082;&#1086;&#1074;&#1086;&#1081;%20&#1076;&#1080;&#1072;&#1075;&#1085;&#1086;&#1089;&#1090;&#1080;&#1082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ytsova-i\Desktop\2016\&#1052;&#1077;&#1076;&#1080;&#1094;&#1080;&#1085;&#1089;&#1082;&#1080;&#1077;%20&#1091;&#1089;&#1083;&#1091;&#1075;&#1080;%2002-2022\&#1053;&#1086;&#1074;&#1099;&#1077;%20%20&#1091;&#1089;&#1083;&#1091;&#1075;&#1080;%20&#1084;&#1072;&#1089;&#1089;&#1072;&#1078;&#1072;%20%2002-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43;&#1080;&#1085;&#1077;&#1082;&#1086;&#1083;&#1086;&#1075;&#1080;&#1103;%20&#1080;%20&#1072;&#1082;&#1091;&#1096;&#1077;&#1088;&#1089;&#1090;&#1074;&#1086;%20%20%20%2002-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55;&#1083;&#1072;&#1090;&#1085;&#1099;&#1077;%20&#1091;&#1089;&#1083;&#1091;&#1075;&#1080;%20&#1092;&#1080;&#1079;&#1080;&#1086;&#1090;&#1077;&#1088;&#1072;&#1087;&#1080;&#1103;%20%2004-20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ytsova-i\Desktop\2016\&#1052;&#1077;&#1076;&#1080;&#1094;&#1080;&#1085;&#1089;&#1082;&#1080;&#1077;%20&#1091;&#1089;&#1083;&#1091;&#1075;&#1080;%2002-2022\&#1053;&#1086;&#1074;&#1099;&#1077;%20&#1091;&#1089;&#1083;&#1091;&#1075;&#1080;%20&#1087;&#1086;%20&#1092;&#1080;&#1079;&#1080;&#1086;&#1090;&#1077;&#1088;&#1072;&#1087;&#1080;&#1080;%2002-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55;&#1083;&#1072;&#1090;&#1085;&#1099;&#1077;%20&#1091;&#1089;&#1083;&#1091;&#1075;&#1080;%20&#1087;&#1088;&#1080;&#1077;&#1084;%20&#1074;&#1088;&#1072;&#1095;&#1072;%2002-20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60;&#1080;&#1090;&#1086;&#1095;&#1072;&#1081;%2002-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51;&#1077;&#1095;&#1077;&#1073;&#1085;&#1072;&#1103;%20&#1092;&#1080;&#1079;&#1082;&#1091;&#1083;&#1100;&#1090;&#1091;&#1088;&#1072;%2002-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iy\Downloads\2016\&#1052;&#1077;&#1076;&#1080;&#1094;&#1080;&#1085;&#1089;&#1082;&#1080;&#1077;%20&#1091;&#1089;&#1083;&#1091;&#1075;&#1080;%202023\&#1059;&#1089;&#1083;&#1091;&#1075;&#1080;%20&#1087;&#1086;%20&#1084;&#1072;&#1085;&#1080;&#1087;&#1091;&#1083;&#1103;&#1094;&#1080;&#1103;&#1084;%20&#1086;&#1073;&#1097;&#1077;&#1075;&#1086;%20&#1085;&#1072;&#1079;&#1085;&#1072;&#1095;&#1077;&#1085;&#1080;&#1103;%20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массаж стол"/>
      <sheetName val="1 Массаж головы"/>
      <sheetName val="1р"/>
      <sheetName val="2 Массаж лица"/>
      <sheetName val="2р"/>
      <sheetName val="3 Массаж шеи"/>
      <sheetName val="3р"/>
      <sheetName val="4 Массаж ворота"/>
      <sheetName val="4р"/>
      <sheetName val="5 Массаж рук"/>
      <sheetName val="5р"/>
      <sheetName val="6 Массаж лопатки"/>
      <sheetName val="6р"/>
      <sheetName val="7 Массаж плеча"/>
      <sheetName val="7р"/>
      <sheetName val="8 Массаж локтя"/>
      <sheetName val="8р"/>
      <sheetName val="9 Массаж лучезапястия"/>
      <sheetName val="9р"/>
      <sheetName val="10 Массаж кисти"/>
      <sheetName val="10р"/>
      <sheetName val="11 Массаж груди"/>
      <sheetName val="11р"/>
      <sheetName val="12р"/>
      <sheetName val="12 Массаж спины"/>
      <sheetName val="13 Массаж брюшины"/>
      <sheetName val="13р"/>
      <sheetName val="14 Массаж поясницы"/>
      <sheetName val="14р"/>
      <sheetName val="15 Массаж спины и поясницы"/>
      <sheetName val="15р"/>
      <sheetName val="16 Массаж шей-груд от.позв"/>
      <sheetName val="16р"/>
      <sheetName val="17 Массаж позвоноч"/>
      <sheetName val="17р"/>
      <sheetName val="18 Массаж ног"/>
      <sheetName val="18р"/>
      <sheetName val="19 Массаж ног и поясницы4"/>
      <sheetName val="19р"/>
      <sheetName val="20 Массаж тазобедрен сус"/>
      <sheetName val="20р"/>
      <sheetName val="21 Массаж колена"/>
      <sheetName val="21р"/>
      <sheetName val="22 Массаж голеностопа"/>
      <sheetName val="22р"/>
      <sheetName val="23 Массаж стопы"/>
      <sheetName val="23р"/>
      <sheetName val="24 Общий детский массаж"/>
      <sheetName val="24р"/>
      <sheetName val="25 шея"/>
      <sheetName val="25р шея"/>
      <sheetName val="26 вор.зона"/>
      <sheetName val="26р вор.зона"/>
      <sheetName val="27 плечо"/>
      <sheetName val="27р плечо"/>
      <sheetName val="28 межлоп."/>
      <sheetName val="28р межлоп."/>
      <sheetName val="29 вер.кон."/>
      <sheetName val="29р вер.кон."/>
      <sheetName val="30 гру.клет"/>
      <sheetName val="30р груд.кл."/>
      <sheetName val="31 спина"/>
      <sheetName val="31р спина"/>
      <sheetName val="32 живот"/>
      <sheetName val="32р живот"/>
      <sheetName val="33 обл.поз."/>
      <sheetName val="33р обл.поз"/>
      <sheetName val="34 гр.отдел"/>
      <sheetName val="34р гр.отд."/>
      <sheetName val="35 поя-кр."/>
      <sheetName val="35р поя-кр."/>
      <sheetName val="36 сп.и поя."/>
      <sheetName val="36р сп.и поя"/>
      <sheetName val="37 таз.суставы"/>
      <sheetName val="37р таз.суставы"/>
      <sheetName val="38 ниж.кон."/>
      <sheetName val="38р ниж.кон."/>
      <sheetName val="Цена материалов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A13" t="str">
            <v>Массаж головы (лобно-височной и затылочно-теменной области)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6">
        <row r="28">
          <cell r="G28">
            <v>9.1199999999999992</v>
          </cell>
        </row>
      </sheetData>
      <sheetData sheetId="7">
        <row r="13">
          <cell r="A13" t="str">
            <v>Массаж лица (лобной, окологлазничной, верхне-и нижнечелюстной области)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8">
        <row r="28">
          <cell r="G28">
            <v>9.1199999999999992</v>
          </cell>
        </row>
      </sheetData>
      <sheetData sheetId="9">
        <row r="13">
          <cell r="A13" t="str">
            <v>Массаж шеи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10">
        <row r="28">
          <cell r="G28">
            <v>9.1199999999999992</v>
          </cell>
        </row>
      </sheetData>
      <sheetData sheetId="11">
        <row r="13">
          <cell r="A13" t="str">
            <v>Массаж воротниковой зоны (задней поверхности шеи, спины до уровня IV грудного позвонка, передней поверхности грудной клетки до 2-го ребра)</v>
          </cell>
        </row>
        <row r="28">
          <cell r="G28">
            <v>8.0500000000000007</v>
          </cell>
        </row>
        <row r="30">
          <cell r="P30">
            <v>0.22</v>
          </cell>
        </row>
      </sheetData>
      <sheetData sheetId="12">
        <row r="28">
          <cell r="G28">
            <v>12.07</v>
          </cell>
        </row>
        <row r="29">
          <cell r="G29">
            <v>320.98</v>
          </cell>
        </row>
      </sheetData>
      <sheetData sheetId="13">
        <row r="13">
          <cell r="A13" t="str">
            <v>Массаж верхней конечности</v>
          </cell>
        </row>
        <row r="28">
          <cell r="G28">
            <v>8.0500000000000007</v>
          </cell>
        </row>
        <row r="30">
          <cell r="P30">
            <v>0.22</v>
          </cell>
        </row>
      </sheetData>
      <sheetData sheetId="14">
        <row r="28">
          <cell r="G28">
            <v>12.07</v>
          </cell>
        </row>
        <row r="29">
          <cell r="G29">
            <v>320.98</v>
          </cell>
        </row>
      </sheetData>
      <sheetData sheetId="15">
        <row r="13">
          <cell r="A13" t="str">
            <v>Массаж верхней конечности, надплечья и области лопатки</v>
          </cell>
        </row>
        <row r="28">
          <cell r="G28">
            <v>9.99</v>
          </cell>
        </row>
        <row r="30">
          <cell r="P30">
            <v>0.22</v>
          </cell>
        </row>
      </sheetData>
      <sheetData sheetId="16">
        <row r="28">
          <cell r="G28">
            <v>15.17</v>
          </cell>
        </row>
        <row r="29">
          <cell r="G29">
            <v>403.41</v>
          </cell>
        </row>
      </sheetData>
      <sheetData sheetId="17">
        <row r="13">
          <cell r="A13" t="str">
            <v>Массаж плечевого сустава (верхней трети плеча, области плечевого сустава и надплечья одноименной стороны)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18">
        <row r="28">
          <cell r="G28">
            <v>9.1199999999999992</v>
          </cell>
        </row>
        <row r="29">
          <cell r="G29">
            <v>242.53</v>
          </cell>
        </row>
      </sheetData>
      <sheetData sheetId="19">
        <row r="13">
          <cell r="A13" t="str">
            <v>Массаж локтевого сустава (верхней трети предплечья, области локтевого сустава и нижней трети плеча)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20">
        <row r="28">
          <cell r="G28">
            <v>9.1199999999999992</v>
          </cell>
        </row>
        <row r="29">
          <cell r="G29">
            <v>242.53</v>
          </cell>
        </row>
      </sheetData>
      <sheetData sheetId="21">
        <row r="13">
          <cell r="A13" t="str">
            <v>Массаж лучезапястного сустава (проксимального отдела кисти, области лучезапястного сустава и предплечья)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22">
        <row r="28">
          <cell r="G28">
            <v>9.1199999999999992</v>
          </cell>
        </row>
        <row r="29">
          <cell r="G29">
            <v>242.53</v>
          </cell>
        </row>
      </sheetData>
      <sheetData sheetId="23">
        <row r="13">
          <cell r="A13" t="str">
            <v>Массаж кисти и предплечья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24">
        <row r="28">
          <cell r="G28">
            <v>9.1199999999999992</v>
          </cell>
        </row>
        <row r="29">
          <cell r="G29">
            <v>242.53</v>
          </cell>
        </row>
      </sheetData>
      <sheetData sheetId="25">
        <row r="13">
          <cell r="A13" t="str">
    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    </cell>
        </row>
        <row r="28">
          <cell r="G28">
            <v>11.72</v>
          </cell>
        </row>
        <row r="30">
          <cell r="P30">
            <v>0.22</v>
          </cell>
        </row>
      </sheetData>
      <sheetData sheetId="26">
        <row r="28">
          <cell r="G28">
            <v>18.27</v>
          </cell>
        </row>
        <row r="29">
          <cell r="G29">
            <v>485.85</v>
          </cell>
        </row>
      </sheetData>
      <sheetData sheetId="27">
        <row r="28">
          <cell r="G28">
            <v>12.07</v>
          </cell>
        </row>
        <row r="29">
          <cell r="G29">
            <v>320.98</v>
          </cell>
        </row>
      </sheetData>
      <sheetData sheetId="28">
        <row r="13">
          <cell r="A13" t="str">
    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    </cell>
        </row>
        <row r="28">
          <cell r="G28">
            <v>8.0500000000000007</v>
          </cell>
        </row>
        <row r="30">
          <cell r="P30">
            <v>0.22</v>
          </cell>
        </row>
      </sheetData>
      <sheetData sheetId="29">
        <row r="13">
          <cell r="A13" t="str">
            <v>Массаж мышц передней брюшной стенки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30">
        <row r="28">
          <cell r="G28">
            <v>9.1199999999999992</v>
          </cell>
        </row>
        <row r="29">
          <cell r="G29">
            <v>242.53</v>
          </cell>
        </row>
      </sheetData>
      <sheetData sheetId="31">
        <row r="13">
          <cell r="A13" t="str">
            <v>Массаж пояснично-крестцовой области (от  I поясничного позвонка до нижних ягодичных складок)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32">
        <row r="28">
          <cell r="G28">
            <v>9.1199999999999992</v>
          </cell>
        </row>
        <row r="29">
          <cell r="G29">
            <v>242.53</v>
          </cell>
        </row>
      </sheetData>
      <sheetData sheetId="33">
        <row r="13">
          <cell r="A13" t="str">
            <v>Массаж спины и поясницы (от VII шейного позвонка до крестца и от левой до правой средней аксиллярной линии)</v>
          </cell>
        </row>
        <row r="28">
          <cell r="G28">
            <v>9.99</v>
          </cell>
        </row>
        <row r="30">
          <cell r="P30">
            <v>0.22</v>
          </cell>
        </row>
      </sheetData>
      <sheetData sheetId="34">
        <row r="28">
          <cell r="G28">
            <v>15.17</v>
          </cell>
        </row>
        <row r="29">
          <cell r="G29">
            <v>403.41</v>
          </cell>
        </row>
      </sheetData>
      <sheetData sheetId="35">
        <row r="13">
          <cell r="A13" t="str">
    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    </cell>
        </row>
        <row r="28">
          <cell r="G28">
            <v>9.99</v>
          </cell>
        </row>
        <row r="30">
          <cell r="P30">
            <v>0.22</v>
          </cell>
        </row>
      </sheetData>
      <sheetData sheetId="36">
        <row r="28">
          <cell r="G28">
            <v>15.17</v>
          </cell>
        </row>
        <row r="29">
          <cell r="G29">
            <v>403.41</v>
          </cell>
        </row>
      </sheetData>
      <sheetData sheetId="37">
        <row r="13">
          <cell r="A13" t="str">
    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    </cell>
        </row>
        <row r="28">
          <cell r="G28">
            <v>11.72</v>
          </cell>
        </row>
        <row r="30">
          <cell r="P30">
            <v>0.22</v>
          </cell>
        </row>
      </sheetData>
      <sheetData sheetId="38">
        <row r="28">
          <cell r="G28">
            <v>18.27</v>
          </cell>
        </row>
        <row r="29">
          <cell r="G29">
            <v>485.85</v>
          </cell>
        </row>
      </sheetData>
      <sheetData sheetId="39">
        <row r="13">
          <cell r="A13" t="str">
            <v>Массаж нижней конечности</v>
          </cell>
        </row>
        <row r="28">
          <cell r="G28">
            <v>8.0500000000000007</v>
          </cell>
        </row>
        <row r="30">
          <cell r="P30">
            <v>0.22</v>
          </cell>
        </row>
      </sheetData>
      <sheetData sheetId="40">
        <row r="28">
          <cell r="G28">
            <v>12.07</v>
          </cell>
        </row>
        <row r="29">
          <cell r="G29">
            <v>320.98</v>
          </cell>
        </row>
      </sheetData>
      <sheetData sheetId="41">
        <row r="13">
          <cell r="A13" t="str">
            <v>Массаж нижней конечности и поясницы (области стопы, голени, бедра, ягодичной и пояснично-крестцовой области)</v>
          </cell>
        </row>
        <row r="28">
          <cell r="G28">
            <v>9.99</v>
          </cell>
        </row>
        <row r="30">
          <cell r="P30">
            <v>0.22</v>
          </cell>
        </row>
      </sheetData>
      <sheetData sheetId="42">
        <row r="28">
          <cell r="G28">
            <v>15.17</v>
          </cell>
        </row>
        <row r="29">
          <cell r="G29">
            <v>403.41</v>
          </cell>
        </row>
      </sheetData>
      <sheetData sheetId="43">
        <row r="13">
          <cell r="A13" t="str">
            <v>Массаж тазобедренного сустава (верхней трети бедра, области тазобедренного сустава и ягодичной области одноименной стороны)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44">
        <row r="28">
          <cell r="G28">
            <v>9.1199999999999992</v>
          </cell>
        </row>
        <row r="29">
          <cell r="G29">
            <v>242.53</v>
          </cell>
        </row>
      </sheetData>
      <sheetData sheetId="45">
        <row r="13">
          <cell r="A13" t="str">
            <v>Массаж коленного сустава (верхней трети голени, области коленного сустава и нижней трети бедра)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46">
        <row r="28">
          <cell r="G28">
            <v>9.1199999999999992</v>
          </cell>
        </row>
        <row r="29">
          <cell r="G29">
            <v>242.53</v>
          </cell>
        </row>
      </sheetData>
      <sheetData sheetId="47">
        <row r="13">
          <cell r="A13" t="str">
            <v>Массаж голеностопного сустава (проксимального отдела стопы, области голеностопного сустава и нижней трети голени)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48">
        <row r="28">
          <cell r="G28">
            <v>9.1199999999999992</v>
          </cell>
        </row>
        <row r="29">
          <cell r="G29">
            <v>242.53</v>
          </cell>
        </row>
      </sheetData>
      <sheetData sheetId="49">
        <row r="13">
          <cell r="A13" t="str">
            <v>Массаж стопы голени</v>
          </cell>
        </row>
        <row r="28">
          <cell r="G28">
            <v>6.01</v>
          </cell>
        </row>
        <row r="30">
          <cell r="P30">
            <v>0.22</v>
          </cell>
        </row>
      </sheetData>
      <sheetData sheetId="50">
        <row r="28">
          <cell r="G28">
            <v>9.1199999999999992</v>
          </cell>
        </row>
        <row r="29">
          <cell r="G29">
            <v>242.53</v>
          </cell>
        </row>
      </sheetData>
      <sheetData sheetId="51">
        <row r="13">
          <cell r="A13" t="str">
            <v>Общий массаж (у детей грудного и младшего дошкольного возраста)</v>
          </cell>
        </row>
        <row r="28">
          <cell r="G28">
            <v>13.41</v>
          </cell>
        </row>
        <row r="30">
          <cell r="P30">
            <v>0.22</v>
          </cell>
        </row>
      </sheetData>
      <sheetData sheetId="52">
        <row r="28">
          <cell r="G28">
            <v>21.11</v>
          </cell>
        </row>
      </sheetData>
      <sheetData sheetId="53">
        <row r="28">
          <cell r="G28">
            <v>5.3</v>
          </cell>
        </row>
        <row r="30">
          <cell r="P30">
            <v>0.22</v>
          </cell>
        </row>
      </sheetData>
      <sheetData sheetId="54">
        <row r="28">
          <cell r="G28">
            <v>6.75</v>
          </cell>
        </row>
      </sheetData>
      <sheetData sheetId="55">
        <row r="28">
          <cell r="G28">
            <v>6.93</v>
          </cell>
        </row>
        <row r="30">
          <cell r="P30">
            <v>0.22</v>
          </cell>
        </row>
      </sheetData>
      <sheetData sheetId="56">
        <row r="28">
          <cell r="G28">
            <v>8.82</v>
          </cell>
        </row>
      </sheetData>
      <sheetData sheetId="57">
        <row r="28">
          <cell r="G28">
            <v>5.3</v>
          </cell>
        </row>
        <row r="30">
          <cell r="P30">
            <v>0.22</v>
          </cell>
        </row>
      </sheetData>
      <sheetData sheetId="58">
        <row r="28">
          <cell r="G28">
            <v>6.75</v>
          </cell>
        </row>
      </sheetData>
      <sheetData sheetId="59">
        <row r="28">
          <cell r="G28">
            <v>5.3</v>
          </cell>
        </row>
        <row r="30">
          <cell r="P30">
            <v>0.22</v>
          </cell>
        </row>
      </sheetData>
      <sheetData sheetId="60">
        <row r="28">
          <cell r="G28">
            <v>6.75</v>
          </cell>
        </row>
      </sheetData>
      <sheetData sheetId="61">
        <row r="28">
          <cell r="G28">
            <v>6.93</v>
          </cell>
        </row>
        <row r="30">
          <cell r="P30">
            <v>0.22</v>
          </cell>
        </row>
      </sheetData>
      <sheetData sheetId="62">
        <row r="28">
          <cell r="G28">
            <v>8.82</v>
          </cell>
        </row>
      </sheetData>
      <sheetData sheetId="63">
        <row r="28">
          <cell r="G28">
            <v>6.93</v>
          </cell>
        </row>
        <row r="30">
          <cell r="P30">
            <v>0.22</v>
          </cell>
        </row>
      </sheetData>
      <sheetData sheetId="64">
        <row r="28">
          <cell r="G28">
            <v>8.82</v>
          </cell>
        </row>
      </sheetData>
      <sheetData sheetId="65">
        <row r="28">
          <cell r="G28">
            <v>6.93</v>
          </cell>
        </row>
        <row r="30">
          <cell r="P30">
            <v>0.22</v>
          </cell>
        </row>
      </sheetData>
      <sheetData sheetId="66">
        <row r="28">
          <cell r="G28">
            <v>8.82</v>
          </cell>
        </row>
      </sheetData>
      <sheetData sheetId="67">
        <row r="28">
          <cell r="G28">
            <v>5.3</v>
          </cell>
        </row>
        <row r="30">
          <cell r="P30">
            <v>0.22</v>
          </cell>
        </row>
      </sheetData>
      <sheetData sheetId="68">
        <row r="28">
          <cell r="G28">
            <v>6.75</v>
          </cell>
        </row>
      </sheetData>
      <sheetData sheetId="69">
        <row r="28">
          <cell r="G28">
            <v>6.93</v>
          </cell>
        </row>
        <row r="30">
          <cell r="P30">
            <v>0.22</v>
          </cell>
        </row>
      </sheetData>
      <sheetData sheetId="70">
        <row r="28">
          <cell r="G28">
            <v>8.82</v>
          </cell>
        </row>
      </sheetData>
      <sheetData sheetId="71">
        <row r="28">
          <cell r="G28">
            <v>5.3</v>
          </cell>
        </row>
        <row r="30">
          <cell r="P30">
            <v>0.22</v>
          </cell>
        </row>
      </sheetData>
      <sheetData sheetId="72">
        <row r="28">
          <cell r="G28">
            <v>6.75</v>
          </cell>
        </row>
      </sheetData>
      <sheetData sheetId="73">
        <row r="28">
          <cell r="G28">
            <v>5.3</v>
          </cell>
        </row>
        <row r="30">
          <cell r="P30">
            <v>0.22</v>
          </cell>
        </row>
      </sheetData>
      <sheetData sheetId="74">
        <row r="28">
          <cell r="G28">
            <v>6.75</v>
          </cell>
        </row>
      </sheetData>
      <sheetData sheetId="75">
        <row r="28">
          <cell r="G28">
            <v>6.93</v>
          </cell>
        </row>
        <row r="30">
          <cell r="P30">
            <v>0.22</v>
          </cell>
        </row>
      </sheetData>
      <sheetData sheetId="76">
        <row r="28">
          <cell r="G28">
            <v>8.82</v>
          </cell>
        </row>
      </sheetData>
      <sheetData sheetId="77">
        <row r="28">
          <cell r="G28">
            <v>5.3</v>
          </cell>
        </row>
        <row r="30">
          <cell r="P30">
            <v>0.22</v>
          </cell>
        </row>
      </sheetData>
      <sheetData sheetId="78">
        <row r="28">
          <cell r="G28">
            <v>6.75</v>
          </cell>
        </row>
      </sheetData>
      <sheetData sheetId="79">
        <row r="28">
          <cell r="G28">
            <v>6.93</v>
          </cell>
        </row>
        <row r="30">
          <cell r="P30">
            <v>0.22</v>
          </cell>
        </row>
      </sheetData>
      <sheetData sheetId="80">
        <row r="28">
          <cell r="G28">
            <v>8.82</v>
          </cell>
        </row>
      </sheetData>
      <sheetData sheetId="81" refreshError="1"/>
      <sheetData sheetId="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а"/>
      <sheetName val="1 перв."/>
      <sheetName val="1р перв."/>
      <sheetName val="2 повт"/>
      <sheetName val="2р повт "/>
      <sheetName val="3 оценка"/>
      <sheetName val="3р оценка"/>
      <sheetName val="4 кисти"/>
      <sheetName val="4р кисти"/>
      <sheetName val="5 стопы"/>
      <sheetName val="5р стопы "/>
      <sheetName val="6 ухо"/>
      <sheetName val="6р ухо "/>
      <sheetName val="7 иглоукалывание"/>
      <sheetName val="7р иглоукалывание"/>
      <sheetName val="8 микроукал."/>
      <sheetName val="8р микроукал."/>
      <sheetName val="9 повер.иглоук."/>
      <sheetName val="9р повер.иглоук."/>
      <sheetName val="10 стабильная"/>
      <sheetName val="10р стабильная"/>
      <sheetName val="11 стаб с кровоп."/>
      <sheetName val="11р стаб с кровоп."/>
      <sheetName val="12 фармакор."/>
      <sheetName val="12р фармакор."/>
      <sheetName val="13 аппликац."/>
      <sheetName val="13р аппликац."/>
      <sheetName val="14 кисть"/>
      <sheetName val="14р кисть"/>
      <sheetName val="15 стопа"/>
      <sheetName val="15р стопа"/>
      <sheetName val="16 сигара"/>
      <sheetName val="16р сигара"/>
      <sheetName val="17 минимоксы"/>
      <sheetName val="17р минимоксы"/>
      <sheetName val="18 аурикулярная"/>
      <sheetName val="18р аурикулярная "/>
      <sheetName val="19 магнитопунктура"/>
      <sheetName val="19р магнитопунктура"/>
      <sheetName val="20 магнитолазеро"/>
      <sheetName val="20р магнитолазеро"/>
      <sheetName val="21 светопунктура"/>
      <sheetName val="21р светопунктура"/>
      <sheetName val="22 лазеропунктура"/>
      <sheetName val="22р лазеропунктура"/>
      <sheetName val="23 вибропунктура"/>
      <sheetName val="23р вибропунктура"/>
      <sheetName val="24 вер.кон."/>
      <sheetName val="24р вер.кон."/>
      <sheetName val="25 гр. кл."/>
      <sheetName val="25р гр. кл."/>
      <sheetName val="26 спин."/>
      <sheetName val="26р спин."/>
      <sheetName val="27 пояс."/>
      <sheetName val="27р пояс."/>
      <sheetName val="28 ниж.кон."/>
      <sheetName val="28р ниж.кон."/>
      <sheetName val="цена материалов"/>
      <sheetName val="уровень"/>
      <sheetName val="анализ"/>
      <sheetName val="прейскурант"/>
    </sheetNames>
    <sheetDataSet>
      <sheetData sheetId="0"/>
      <sheetData sheetId="1">
        <row r="11">
          <cell r="A11" t="str">
            <v>Первичная консультация врача-рефлексотерапевта</v>
          </cell>
        </row>
        <row r="26">
          <cell r="G26">
            <v>14.24</v>
          </cell>
          <cell r="P26">
            <v>7.0000000000000007E-2</v>
          </cell>
        </row>
      </sheetData>
      <sheetData sheetId="2">
        <row r="26">
          <cell r="G26">
            <v>18.57</v>
          </cell>
        </row>
      </sheetData>
      <sheetData sheetId="3">
        <row r="11">
          <cell r="A11" t="str">
            <v>Повторная консультация врача-рефлексотерапевта</v>
          </cell>
        </row>
        <row r="26">
          <cell r="G26">
            <v>7.57</v>
          </cell>
          <cell r="P26">
            <v>7.0000000000000007E-2</v>
          </cell>
        </row>
      </sheetData>
      <sheetData sheetId="4">
        <row r="26">
          <cell r="G26">
            <v>9.89</v>
          </cell>
        </row>
      </sheetData>
      <sheetData sheetId="5">
        <row r="11">
          <cell r="A11" t="str">
            <v>Оценка функционального состояния организма по характеристикам пульса методом пальпации</v>
          </cell>
        </row>
        <row r="26">
          <cell r="G26">
            <v>7.57</v>
          </cell>
          <cell r="P26">
            <v>7.0000000000000007E-2</v>
          </cell>
        </row>
      </sheetData>
      <sheetData sheetId="6">
        <row r="26">
          <cell r="G26">
            <v>9.89</v>
          </cell>
        </row>
      </sheetData>
      <sheetData sheetId="7">
        <row r="11">
          <cell r="A11" t="str">
            <v>Выявление альгических точек (зон) на кистях</v>
          </cell>
        </row>
        <row r="26">
          <cell r="G26">
            <v>9.86</v>
          </cell>
          <cell r="P26">
            <v>0.11</v>
          </cell>
        </row>
      </sheetData>
      <sheetData sheetId="8">
        <row r="26">
          <cell r="G26">
            <v>12.81</v>
          </cell>
        </row>
      </sheetData>
      <sheetData sheetId="9">
        <row r="11">
          <cell r="A11" t="str">
            <v>Выявление альгических точек (зон) на стопах</v>
          </cell>
        </row>
        <row r="26">
          <cell r="G26">
            <v>9.86</v>
          </cell>
          <cell r="P26">
            <v>0.11</v>
          </cell>
        </row>
      </sheetData>
      <sheetData sheetId="10">
        <row r="26">
          <cell r="G26">
            <v>12.81</v>
          </cell>
        </row>
      </sheetData>
      <sheetData sheetId="11">
        <row r="11">
          <cell r="A11" t="str">
            <v>Выявление альгических точек (зон) на ушной раковине (аурикулярное тестирование) методом зондирования</v>
          </cell>
        </row>
        <row r="26">
          <cell r="G26">
            <v>7.43</v>
          </cell>
          <cell r="P26">
            <v>0.11</v>
          </cell>
        </row>
      </sheetData>
      <sheetData sheetId="12">
        <row r="26">
          <cell r="G26">
            <v>9.7100000000000009</v>
          </cell>
        </row>
      </sheetData>
      <sheetData sheetId="13">
        <row r="11">
          <cell r="A11" t="str">
            <v>Классическое иглоукалывание (акупунктура)</v>
          </cell>
        </row>
        <row r="26">
          <cell r="G26">
            <v>14.02</v>
          </cell>
        </row>
        <row r="29">
          <cell r="P29">
            <v>4.9000000000000004</v>
          </cell>
        </row>
      </sheetData>
      <sheetData sheetId="14">
        <row r="26">
          <cell r="G26">
            <v>18.29</v>
          </cell>
        </row>
      </sheetData>
      <sheetData sheetId="15">
        <row r="11">
          <cell r="A11" t="str">
            <v>Микроиглоукалывание</v>
          </cell>
        </row>
        <row r="26">
          <cell r="G26">
            <v>10.51</v>
          </cell>
        </row>
        <row r="30">
          <cell r="P30">
            <v>4.83</v>
          </cell>
        </row>
      </sheetData>
      <sheetData sheetId="16">
        <row r="26">
          <cell r="G26">
            <v>13.71</v>
          </cell>
        </row>
      </sheetData>
      <sheetData sheetId="17">
        <row r="11">
          <cell r="A11" t="str">
            <v>Поверхностное иглоукалывание</v>
          </cell>
        </row>
        <row r="26">
          <cell r="G26">
            <v>10.51</v>
          </cell>
        </row>
        <row r="27">
          <cell r="P27">
            <v>1.4</v>
          </cell>
        </row>
      </sheetData>
      <sheetData sheetId="18">
        <row r="26">
          <cell r="G26">
            <v>13.71</v>
          </cell>
        </row>
      </sheetData>
      <sheetData sheetId="19">
        <row r="11">
          <cell r="A11" t="str">
            <v>Вакуумрефлексотерапия, стабильная методика</v>
          </cell>
        </row>
        <row r="26">
          <cell r="G26">
            <v>10.51</v>
          </cell>
        </row>
        <row r="28">
          <cell r="P28">
            <v>2.1</v>
          </cell>
        </row>
      </sheetData>
      <sheetData sheetId="20">
        <row r="26">
          <cell r="G26">
            <v>13.71</v>
          </cell>
        </row>
      </sheetData>
      <sheetData sheetId="21">
        <row r="11">
          <cell r="A11" t="str">
            <v>Вакуумрефлексотерапия с кровопусканием, стабильный метод</v>
          </cell>
        </row>
        <row r="26">
          <cell r="G26">
            <v>14.02</v>
          </cell>
        </row>
        <row r="29">
          <cell r="P29">
            <v>2.84</v>
          </cell>
        </row>
      </sheetData>
      <sheetData sheetId="22">
        <row r="26">
          <cell r="G26">
            <v>18.29</v>
          </cell>
        </row>
      </sheetData>
      <sheetData sheetId="23">
        <row r="11">
          <cell r="A11" t="str">
            <v>Фармакорефлексотерапия</v>
          </cell>
        </row>
        <row r="26">
          <cell r="G26">
            <v>14.02</v>
          </cell>
        </row>
        <row r="31">
          <cell r="P31">
            <v>5.15</v>
          </cell>
        </row>
      </sheetData>
      <sheetData sheetId="24">
        <row r="26">
          <cell r="G26">
            <v>18.29</v>
          </cell>
        </row>
      </sheetData>
      <sheetData sheetId="25">
        <row r="11">
          <cell r="A11" t="str">
            <v>Аппликационная рефлексотерапия</v>
          </cell>
        </row>
        <row r="26">
          <cell r="G26">
            <v>7.02</v>
          </cell>
        </row>
        <row r="28">
          <cell r="P28">
            <v>1.07</v>
          </cell>
        </row>
      </sheetData>
      <sheetData sheetId="26">
        <row r="26">
          <cell r="G26">
            <v>9.15</v>
          </cell>
        </row>
      </sheetData>
      <sheetData sheetId="27">
        <row r="11">
          <cell r="A11" t="str">
            <v>Рефлексотерапия микросистем кисти</v>
          </cell>
        </row>
        <row r="26">
          <cell r="G26">
            <v>14.02</v>
          </cell>
        </row>
        <row r="29">
          <cell r="P29">
            <v>4.9000000000000004</v>
          </cell>
        </row>
      </sheetData>
      <sheetData sheetId="28">
        <row r="26">
          <cell r="G26">
            <v>18.29</v>
          </cell>
        </row>
      </sheetData>
      <sheetData sheetId="29">
        <row r="11">
          <cell r="A11" t="str">
            <v>Рефлексотерапия микросистем стопы</v>
          </cell>
        </row>
        <row r="26">
          <cell r="G26">
            <v>14.02</v>
          </cell>
        </row>
        <row r="29">
          <cell r="P29">
            <v>4.9000000000000004</v>
          </cell>
        </row>
      </sheetData>
      <sheetData sheetId="30">
        <row r="26">
          <cell r="G26">
            <v>18.29</v>
          </cell>
        </row>
      </sheetData>
      <sheetData sheetId="31">
        <row r="11">
          <cell r="A11" t="str">
            <v>Прогревание точек акупунктуры полынными сигарами</v>
          </cell>
        </row>
        <row r="25">
          <cell r="P25">
            <v>1.64</v>
          </cell>
        </row>
        <row r="26">
          <cell r="G26">
            <v>14.02</v>
          </cell>
        </row>
      </sheetData>
      <sheetData sheetId="32">
        <row r="26">
          <cell r="G26">
            <v>18.29</v>
          </cell>
        </row>
      </sheetData>
      <sheetData sheetId="33">
        <row r="11">
          <cell r="A11" t="str">
            <v>Прогревание точек акупунктуры минимоксами</v>
          </cell>
        </row>
        <row r="25">
          <cell r="P25">
            <v>2.42</v>
          </cell>
        </row>
        <row r="26">
          <cell r="G26">
            <v>6.99</v>
          </cell>
        </row>
      </sheetData>
      <sheetData sheetId="34">
        <row r="26">
          <cell r="G26">
            <v>9.15</v>
          </cell>
        </row>
      </sheetData>
      <sheetData sheetId="35">
        <row r="11">
          <cell r="A11" t="str">
            <v>Аурикулярная рефлексотерапия</v>
          </cell>
        </row>
        <row r="26">
          <cell r="G26">
            <v>21.07</v>
          </cell>
        </row>
        <row r="29">
          <cell r="P29">
            <v>4.38</v>
          </cell>
        </row>
      </sheetData>
      <sheetData sheetId="36">
        <row r="26">
          <cell r="G26">
            <v>27.44</v>
          </cell>
        </row>
      </sheetData>
      <sheetData sheetId="37">
        <row r="26">
          <cell r="G26">
            <v>10.51</v>
          </cell>
        </row>
        <row r="27">
          <cell r="P27">
            <v>1.1100000000000001</v>
          </cell>
        </row>
      </sheetData>
      <sheetData sheetId="38">
        <row r="26">
          <cell r="G26">
            <v>13.71</v>
          </cell>
        </row>
      </sheetData>
      <sheetData sheetId="39">
        <row r="11">
          <cell r="A11" t="str">
            <v>Магнитолазеропунктура</v>
          </cell>
        </row>
        <row r="26">
          <cell r="G26">
            <v>14.02</v>
          </cell>
          <cell r="P26">
            <v>1.0900000000000001</v>
          </cell>
        </row>
      </sheetData>
      <sheetData sheetId="40">
        <row r="26">
          <cell r="G26">
            <v>18.29</v>
          </cell>
        </row>
      </sheetData>
      <sheetData sheetId="41">
        <row r="11">
          <cell r="A11" t="str">
            <v>Светопунктура (видимым светом, поляризованным светом и др.)</v>
          </cell>
        </row>
        <row r="25">
          <cell r="P25">
            <v>0.09</v>
          </cell>
        </row>
        <row r="26">
          <cell r="G26">
            <v>17.54</v>
          </cell>
        </row>
      </sheetData>
      <sheetData sheetId="42">
        <row r="26">
          <cell r="G26">
            <v>22.85</v>
          </cell>
        </row>
      </sheetData>
      <sheetData sheetId="43">
        <row r="11">
          <cell r="A11" t="str">
            <v>Лазеропунктура</v>
          </cell>
        </row>
        <row r="26">
          <cell r="G26">
            <v>14.02</v>
          </cell>
          <cell r="P26">
            <v>1.0900000000000001</v>
          </cell>
        </row>
      </sheetData>
      <sheetData sheetId="44">
        <row r="26">
          <cell r="G26">
            <v>18.29</v>
          </cell>
        </row>
      </sheetData>
      <sheetData sheetId="45">
        <row r="11">
          <cell r="A11" t="str">
            <v>Вибропунктура</v>
          </cell>
        </row>
        <row r="26">
          <cell r="G26">
            <v>14.02</v>
          </cell>
          <cell r="P26">
            <v>1.0900000000000001</v>
          </cell>
        </row>
      </sheetData>
      <sheetData sheetId="46">
        <row r="26">
          <cell r="G26">
            <v>18.29</v>
          </cell>
        </row>
      </sheetData>
      <sheetData sheetId="47">
        <row r="26">
          <cell r="G26">
            <v>7.58</v>
          </cell>
        </row>
        <row r="30">
          <cell r="P30">
            <v>1.3</v>
          </cell>
        </row>
      </sheetData>
      <sheetData sheetId="48">
        <row r="26">
          <cell r="G26">
            <v>9.89</v>
          </cell>
        </row>
      </sheetData>
      <sheetData sheetId="49">
        <row r="26">
          <cell r="G26">
            <v>7.58</v>
          </cell>
        </row>
        <row r="30">
          <cell r="P30">
            <v>1.3</v>
          </cell>
        </row>
      </sheetData>
      <sheetData sheetId="50">
        <row r="26">
          <cell r="G26">
            <v>9.89</v>
          </cell>
        </row>
      </sheetData>
      <sheetData sheetId="51">
        <row r="26">
          <cell r="G26">
            <v>7.58</v>
          </cell>
        </row>
        <row r="30">
          <cell r="P30">
            <v>1.3</v>
          </cell>
        </row>
      </sheetData>
      <sheetData sheetId="52">
        <row r="26">
          <cell r="G26">
            <v>9.89</v>
          </cell>
        </row>
      </sheetData>
      <sheetData sheetId="53">
        <row r="26">
          <cell r="G26">
            <v>7.58</v>
          </cell>
        </row>
        <row r="30">
          <cell r="P30">
            <v>1.3</v>
          </cell>
        </row>
      </sheetData>
      <sheetData sheetId="54">
        <row r="26">
          <cell r="G26">
            <v>9.89</v>
          </cell>
        </row>
      </sheetData>
      <sheetData sheetId="55">
        <row r="26">
          <cell r="G26">
            <v>7.58</v>
          </cell>
        </row>
        <row r="30">
          <cell r="P30">
            <v>1.3</v>
          </cell>
        </row>
      </sheetData>
      <sheetData sheetId="56">
        <row r="26">
          <cell r="G26">
            <v>9.89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а"/>
      <sheetName val="1верх кон."/>
      <sheetName val="1р верх кон. "/>
      <sheetName val="2 гр. клетка"/>
      <sheetName val="2р гр. клетка "/>
      <sheetName val="3 спина"/>
      <sheetName val="3р спина"/>
      <sheetName val="4 поясница"/>
      <sheetName val="4р поясница "/>
      <sheetName val="5 ниж.конечности"/>
      <sheetName val="5р ниж.конечности "/>
      <sheetName val="цена материалов"/>
      <sheetName val="уровень"/>
      <sheetName val="анализ"/>
      <sheetName val="прейску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F3" t="str">
            <v>по идеологической работе и социальным вопросам                                               ОАО "Могилевхимволокно"</v>
          </cell>
        </row>
        <row r="16">
          <cell r="A16" t="str">
            <v>3.17.</v>
          </cell>
          <cell r="B16" t="str">
            <v>Восточный массаж вакуумный кинетический</v>
          </cell>
        </row>
        <row r="17">
          <cell r="A17" t="str">
            <v>3.17.1</v>
          </cell>
          <cell r="B17" t="str">
            <v>Восточный массаж вакуумный кинетический верхних конечностей</v>
          </cell>
          <cell r="C17" t="str">
            <v>процедура</v>
          </cell>
        </row>
        <row r="18">
          <cell r="A18" t="str">
            <v>3.17.2</v>
          </cell>
          <cell r="B18" t="str">
            <v>Восточный массаж вакуумный кинетический передней поверхности грудной клетки</v>
          </cell>
          <cell r="C18" t="str">
            <v>процедура</v>
          </cell>
        </row>
        <row r="19">
          <cell r="A19" t="str">
            <v>3.17.3</v>
          </cell>
          <cell r="B19" t="str">
            <v>Восточный массаж вакуумный кинетический спины</v>
          </cell>
          <cell r="C19" t="str">
            <v>процедура</v>
          </cell>
        </row>
        <row r="20">
          <cell r="A20" t="str">
            <v>3.17.4</v>
          </cell>
          <cell r="B20" t="str">
            <v>Восточный массаж вакуумный кинетический поясницы</v>
          </cell>
          <cell r="C20" t="str">
            <v>процедура</v>
          </cell>
        </row>
        <row r="21">
          <cell r="A21" t="str">
            <v>3.17.5</v>
          </cell>
          <cell r="B21" t="str">
            <v>Восточный массаж вакуумный кинетический нижних конечностей</v>
          </cell>
          <cell r="C21" t="str">
            <v>процедура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(2)"/>
      <sheetName val="Уровень цен"/>
      <sheetName val="Анализ стоим"/>
      <sheetName val="Тариф. ставки"/>
      <sheetName val="1 Забор крови палец"/>
      <sheetName val="1р"/>
      <sheetName val="2 Пипетирование стек."/>
      <sheetName val="2р "/>
      <sheetName val="2 Пипетирование полуав."/>
      <sheetName val="2а р "/>
      <sheetName val="3 Гемоглобин"/>
      <sheetName val="3р  "/>
      <sheetName val="4 Эритроциты"/>
      <sheetName val="4р  "/>
      <sheetName val="5 СОЭ"/>
      <sheetName val="5р   "/>
      <sheetName val="6 Лейкоциты"/>
      <sheetName val="6р  "/>
      <sheetName val="7 прием"/>
      <sheetName val="7 р  "/>
      <sheetName val="8 Забор кров 1 показ"/>
      <sheetName val="8р  "/>
      <sheetName val="9 Тромбоциты"/>
      <sheetName val="9р"/>
      <sheetName val="10 Обработка крови для сыворотк"/>
      <sheetName val="10  р"/>
      <sheetName val="11 Глюкоза"/>
      <sheetName val="11р"/>
      <sheetName val="12 рН мочи"/>
      <sheetName val="12 р  "/>
      <sheetName val="13 Глюкоза в моче"/>
      <sheetName val="13 р  "/>
      <sheetName val="14 Белок в моче"/>
      <sheetName val="14 р"/>
      <sheetName val="15 Белок в моче 2"/>
      <sheetName val="15 р 2"/>
      <sheetName val="16 Кетоновы тела "/>
      <sheetName val="16 р"/>
      <sheetName val="17 Микроскоп ис. мочи в норме"/>
      <sheetName val="17р  "/>
      <sheetName val="18 Микроскоп патология"/>
      <sheetName val="18р  "/>
      <sheetName val="19 Анализ по Нечипоренко"/>
      <sheetName val="19р"/>
      <sheetName val="20 Трихомонад"/>
      <sheetName val="20р"/>
      <sheetName val="21 Приготов."/>
      <sheetName val="21р"/>
      <sheetName val="22 Морфолог. анализ"/>
      <sheetName val="22р"/>
      <sheetName val="23 Морфол. патол"/>
      <sheetName val="23р"/>
      <sheetName val="Инструмент 1 кардиогр"/>
      <sheetName val="1  р"/>
      <sheetName val="Цена материалов"/>
      <sheetName val="Лист1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11" t="str">
            <v>Взятие крови из пальца для всего спектра гематологических исследований в понятии "общий анализ крови"</v>
          </cell>
        </row>
        <row r="26">
          <cell r="G26">
            <v>0.6</v>
          </cell>
        </row>
        <row r="30">
          <cell r="P30">
            <v>1.34</v>
          </cell>
        </row>
      </sheetData>
      <sheetData sheetId="6" refreshError="1">
        <row r="26">
          <cell r="G26">
            <v>1</v>
          </cell>
        </row>
        <row r="27">
          <cell r="D27" t="str">
            <v>курс на 23.03.20 за 100 рос. руб.</v>
          </cell>
          <cell r="E27">
            <v>3.2759999999999998</v>
          </cell>
        </row>
      </sheetData>
      <sheetData sheetId="7" refreshError="1">
        <row r="11">
          <cell r="A11" t="str">
            <v>Пипетирование стеклянными пипетками</v>
          </cell>
        </row>
        <row r="26">
          <cell r="G26">
            <v>0.04</v>
          </cell>
        </row>
        <row r="27">
          <cell r="P27">
            <v>0.3</v>
          </cell>
        </row>
      </sheetData>
      <sheetData sheetId="8" refreshError="1">
        <row r="26">
          <cell r="G26">
            <v>0.05</v>
          </cell>
        </row>
      </sheetData>
      <sheetData sheetId="9" refreshError="1">
        <row r="11">
          <cell r="A11" t="str">
            <v>Пипетирование полуавтоматическими дозаторами</v>
          </cell>
        </row>
        <row r="26">
          <cell r="G26">
            <v>0.04</v>
          </cell>
        </row>
        <row r="27">
          <cell r="P27">
            <v>0.18</v>
          </cell>
        </row>
      </sheetData>
      <sheetData sheetId="10" refreshError="1">
        <row r="26">
          <cell r="G26">
            <v>0.05</v>
          </cell>
        </row>
      </sheetData>
      <sheetData sheetId="11" refreshError="1">
        <row r="11">
          <cell r="A11" t="str">
            <v>Определение гемоглобина гемоглобинцианидный методом</v>
          </cell>
        </row>
        <row r="26">
          <cell r="G26">
            <v>0.59</v>
          </cell>
        </row>
        <row r="27">
          <cell r="P27">
            <v>0.08</v>
          </cell>
        </row>
      </sheetData>
      <sheetData sheetId="12" refreshError="1">
        <row r="26">
          <cell r="G26">
            <v>0.9</v>
          </cell>
        </row>
      </sheetData>
      <sheetData sheetId="13" refreshError="1">
        <row r="11">
          <cell r="A11" t="str">
            <v>Подсчет эритроцитов в счетной камере</v>
          </cell>
        </row>
        <row r="26">
          <cell r="G26">
            <v>1.1000000000000001</v>
          </cell>
        </row>
        <row r="27">
          <cell r="P27">
            <v>0.24</v>
          </cell>
        </row>
      </sheetData>
      <sheetData sheetId="14" refreshError="1">
        <row r="26">
          <cell r="G26">
            <v>1.42</v>
          </cell>
        </row>
      </sheetData>
      <sheetData sheetId="15" refreshError="1">
        <row r="11">
          <cell r="A11" t="str">
            <v xml:space="preserve"> Определение скорости оседания эритроцитов</v>
          </cell>
        </row>
        <row r="26">
          <cell r="G26">
            <v>0.25</v>
          </cell>
          <cell r="P26">
            <v>0.02</v>
          </cell>
        </row>
      </sheetData>
      <sheetData sheetId="16" refreshError="1">
        <row r="26">
          <cell r="G26">
            <v>0.4</v>
          </cell>
        </row>
      </sheetData>
      <sheetData sheetId="17" refreshError="1">
        <row r="11">
          <cell r="A11" t="str">
            <v>Подсчет лейкоцитов в счетной камере</v>
          </cell>
        </row>
        <row r="26">
          <cell r="G26">
            <v>1</v>
          </cell>
        </row>
        <row r="27">
          <cell r="P27">
            <v>0.05</v>
          </cell>
        </row>
      </sheetData>
      <sheetData sheetId="18" refreshError="1">
        <row r="26">
          <cell r="G26">
            <v>1.2</v>
          </cell>
        </row>
      </sheetData>
      <sheetData sheetId="19" refreshError="1">
        <row r="11">
          <cell r="A11" t="str">
            <v>Прием и регистрация проб</v>
          </cell>
        </row>
        <row r="26">
          <cell r="G26">
            <v>0.6</v>
          </cell>
        </row>
        <row r="27">
          <cell r="P27">
            <v>0.08</v>
          </cell>
        </row>
      </sheetData>
      <sheetData sheetId="20" refreshError="1">
        <row r="26">
          <cell r="G26">
            <v>0.6</v>
          </cell>
        </row>
      </sheetData>
      <sheetData sheetId="21" refreshError="1">
        <row r="26">
          <cell r="G26">
            <v>0.25</v>
          </cell>
        </row>
        <row r="27">
          <cell r="P27">
            <v>1.34</v>
          </cell>
        </row>
      </sheetData>
      <sheetData sheetId="22" refreshError="1">
        <row r="26">
          <cell r="G26">
            <v>0.35</v>
          </cell>
        </row>
      </sheetData>
      <sheetData sheetId="23" refreshError="1">
        <row r="11">
          <cell r="A11" t="str">
            <v>Подсчет тромбоцитов в окрашенных мазках по Фонио</v>
          </cell>
        </row>
        <row r="26">
          <cell r="G26">
            <v>2.7</v>
          </cell>
        </row>
        <row r="27">
          <cell r="P27">
            <v>0.18</v>
          </cell>
        </row>
      </sheetData>
      <sheetData sheetId="24" refreshError="1">
        <row r="26">
          <cell r="G26">
            <v>4.5199999999999996</v>
          </cell>
        </row>
        <row r="27">
          <cell r="G27">
            <v>137.97</v>
          </cell>
        </row>
      </sheetData>
      <sheetData sheetId="25" refreshError="1">
        <row r="11">
          <cell r="A11" t="str">
            <v>Обработка  крови для получения сыворотки</v>
          </cell>
        </row>
        <row r="26">
          <cell r="G26">
            <v>0.45</v>
          </cell>
        </row>
        <row r="28">
          <cell r="P28">
            <v>0.02</v>
          </cell>
        </row>
      </sheetData>
      <sheetData sheetId="26" refreshError="1">
        <row r="26">
          <cell r="G26">
            <v>0.64</v>
          </cell>
        </row>
      </sheetData>
      <sheetData sheetId="27" refreshError="1">
        <row r="11">
          <cell r="A11" t="str">
            <v>Определение глюкозы ферментативным методом</v>
          </cell>
        </row>
        <row r="26">
          <cell r="G26">
            <v>0.88</v>
          </cell>
        </row>
        <row r="28">
          <cell r="P28">
            <v>0.19</v>
          </cell>
        </row>
      </sheetData>
      <sheetData sheetId="28" refreshError="1">
        <row r="26">
          <cell r="G26">
            <v>1.34</v>
          </cell>
        </row>
      </sheetData>
      <sheetData sheetId="29" refreshError="1">
        <row r="11">
          <cell r="A11" t="str">
            <v xml:space="preserve">Определение количества, цвета, прозрачности, наличия осадка, относительной плотности, рН  </v>
          </cell>
        </row>
        <row r="26">
          <cell r="G26">
            <v>0.24</v>
          </cell>
        </row>
        <row r="27">
          <cell r="P27">
            <v>0.08</v>
          </cell>
        </row>
      </sheetData>
      <sheetData sheetId="30" refreshError="1">
        <row r="26">
          <cell r="G26">
            <v>0.42</v>
          </cell>
        </row>
      </sheetData>
      <sheetData sheetId="31" refreshError="1">
        <row r="11">
          <cell r="A11" t="str">
            <v>Обнаружение глюкозы экспресс-тестом</v>
          </cell>
        </row>
        <row r="27">
          <cell r="G27">
            <v>0.37</v>
          </cell>
        </row>
        <row r="28">
          <cell r="P28">
            <v>0.09</v>
          </cell>
        </row>
      </sheetData>
      <sheetData sheetId="32" refreshError="1">
        <row r="26">
          <cell r="G26">
            <v>0.6</v>
          </cell>
        </row>
      </sheetData>
      <sheetData sheetId="33" refreshError="1">
        <row r="11">
          <cell r="A11" t="str">
            <v>Обнаружение белка с сульфосалициловой кислотой</v>
          </cell>
        </row>
        <row r="26">
          <cell r="G26">
            <v>0.25</v>
          </cell>
        </row>
        <row r="27">
          <cell r="P27">
            <v>0.03</v>
          </cell>
        </row>
      </sheetData>
      <sheetData sheetId="34" refreshError="1">
        <row r="26">
          <cell r="G26">
            <v>0.35</v>
          </cell>
        </row>
      </sheetData>
      <sheetData sheetId="35" refreshError="1">
        <row r="11">
          <cell r="A11" t="str">
            <v>Определение белка с сульфосалициловой кислотой</v>
          </cell>
        </row>
        <row r="26">
          <cell r="G26">
            <v>1</v>
          </cell>
        </row>
        <row r="27">
          <cell r="P27">
            <v>0.3</v>
          </cell>
        </row>
      </sheetData>
      <sheetData sheetId="36" refreshError="1">
        <row r="26">
          <cell r="G26">
            <v>1.56</v>
          </cell>
        </row>
      </sheetData>
      <sheetData sheetId="37" refreshError="1">
        <row r="11">
          <cell r="A11" t="str">
            <v>Обнаружение кетоновых тел экспресс-тестом</v>
          </cell>
        </row>
        <row r="26">
          <cell r="G26">
            <v>0.37</v>
          </cell>
        </row>
        <row r="27">
          <cell r="P27">
            <v>0.12</v>
          </cell>
        </row>
      </sheetData>
      <sheetData sheetId="38" refreshError="1">
        <row r="26">
          <cell r="G26">
            <v>0.6</v>
          </cell>
        </row>
      </sheetData>
      <sheetData sheetId="39" refreshError="1">
        <row r="11">
          <cell r="A11" t="str">
            <v>Микроскопическое исследование осадка (в норме)</v>
          </cell>
        </row>
        <row r="26">
          <cell r="G26">
            <v>0.6</v>
          </cell>
        </row>
        <row r="27">
          <cell r="P27">
            <v>7.0000000000000007E-2</v>
          </cell>
        </row>
      </sheetData>
      <sheetData sheetId="40" refreshError="1">
        <row r="26">
          <cell r="G26">
            <v>1</v>
          </cell>
        </row>
      </sheetData>
      <sheetData sheetId="41" refreshError="1">
        <row r="11">
          <cell r="A11" t="str">
            <v>Микроскопическое исследование осадка при патологии (белок в моче)</v>
          </cell>
        </row>
        <row r="26">
          <cell r="G26">
            <v>0.88</v>
          </cell>
        </row>
        <row r="28">
          <cell r="P28">
            <v>0.08</v>
          </cell>
        </row>
      </sheetData>
      <sheetData sheetId="42" refreshError="1">
        <row r="26">
          <cell r="G26">
            <v>1.35</v>
          </cell>
        </row>
      </sheetData>
      <sheetData sheetId="43" refreshError="1">
        <row r="11">
          <cell r="A11" t="str">
            <v>Подсчет количества форменных элементов методом Нечипоренко</v>
          </cell>
        </row>
        <row r="26">
          <cell r="G26">
            <v>2.16</v>
          </cell>
        </row>
        <row r="27">
          <cell r="P27">
            <v>0.14000000000000001</v>
          </cell>
        </row>
      </sheetData>
      <sheetData sheetId="44" refreshError="1">
        <row r="26">
          <cell r="G26">
            <v>3.2</v>
          </cell>
        </row>
        <row r="27">
          <cell r="G27">
            <v>97.68</v>
          </cell>
        </row>
      </sheetData>
      <sheetData sheetId="45" refreshError="1">
        <row r="11">
          <cell r="A11" t="str">
            <v>Микроскопическое исследование препаратов, окрашенных метиленовым синим</v>
          </cell>
        </row>
        <row r="26">
          <cell r="G26">
            <v>2.2000000000000002</v>
          </cell>
        </row>
        <row r="30">
          <cell r="P30">
            <v>0.16</v>
          </cell>
        </row>
      </sheetData>
      <sheetData sheetId="46" refreshError="1">
        <row r="26">
          <cell r="G26">
            <v>3</v>
          </cell>
        </row>
        <row r="27">
          <cell r="G27">
            <v>91.58</v>
          </cell>
        </row>
      </sheetData>
      <sheetData sheetId="47" refreshError="1">
        <row r="11">
          <cell r="A11" t="str">
    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    </cell>
        </row>
        <row r="26">
          <cell r="G26">
            <v>2</v>
          </cell>
        </row>
        <row r="27">
          <cell r="P27">
            <v>0.13</v>
          </cell>
        </row>
      </sheetData>
      <sheetData sheetId="48" refreshError="1">
        <row r="26">
          <cell r="G26">
            <v>3</v>
          </cell>
        </row>
      </sheetData>
      <sheetData sheetId="49" refreshError="1">
        <row r="11">
          <cell r="A11" t="str">
    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    </cell>
        </row>
        <row r="26">
          <cell r="G26">
            <v>1.7</v>
          </cell>
        </row>
        <row r="27">
          <cell r="P27">
            <v>0.08</v>
          </cell>
        </row>
      </sheetData>
      <sheetData sheetId="50" refreshError="1">
        <row r="26">
          <cell r="G26">
            <v>2.35</v>
          </cell>
        </row>
      </sheetData>
      <sheetData sheetId="51" refreshError="1"/>
      <sheetData sheetId="52" refreshError="1"/>
      <sheetData sheetId="53" refreshError="1">
        <row r="11">
          <cell r="A11" t="str">
            <v>Электрокардиограмма в 12 отведениях без функциональных проб</v>
          </cell>
        </row>
      </sheetData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куранс 1"/>
      <sheetName val="Прейскурант"/>
      <sheetName val="Прейскурант (2)"/>
      <sheetName val="Уровень цен"/>
      <sheetName val="Анализ стоим"/>
      <sheetName val="Тариф. ставки"/>
      <sheetName val="1 Забор крови палец"/>
      <sheetName val="1р"/>
      <sheetName val="2 Пипетирование стек."/>
      <sheetName val="2р "/>
      <sheetName val="2 Пипетирование полуав."/>
      <sheetName val="2а р "/>
      <sheetName val="3 Гемоглобин"/>
      <sheetName val="3р  "/>
      <sheetName val="4 Эритроциты"/>
      <sheetName val="4р  "/>
      <sheetName val="5 СОЭ"/>
      <sheetName val="5р   "/>
      <sheetName val="6 Лейкоциты"/>
      <sheetName val="6р  "/>
      <sheetName val="7 прием"/>
      <sheetName val="7 р  "/>
      <sheetName val="8 Забор кров 1 показ"/>
      <sheetName val="8р  "/>
      <sheetName val="9 Тромбоциты"/>
      <sheetName val="9р"/>
      <sheetName val="10 Обработка крови для сыворотк"/>
      <sheetName val="10  р"/>
      <sheetName val="11 Глюкоза"/>
      <sheetName val="11р"/>
      <sheetName val="12 рН мочи"/>
      <sheetName val="12 р  "/>
      <sheetName val="13 Глюкоза в моче"/>
      <sheetName val="13 р  "/>
      <sheetName val="14 Белок в моче"/>
      <sheetName val="14 р"/>
      <sheetName val="15 Белок в моче 2"/>
      <sheetName val="15 р 2"/>
      <sheetName val="16 Кетоновы тела "/>
      <sheetName val="16 р"/>
      <sheetName val="17 Микроскоп ис. мочи в норме"/>
      <sheetName val="17р  "/>
      <sheetName val="18 Микроскоп патология"/>
      <sheetName val="18р  "/>
      <sheetName val="19 Анализ по Нечипоренко"/>
      <sheetName val="19р"/>
      <sheetName val="20 Трихомонад"/>
      <sheetName val="20р"/>
      <sheetName val="21 Приготов."/>
      <sheetName val="21р"/>
      <sheetName val="22 Морфолог. анализ"/>
      <sheetName val="22р"/>
      <sheetName val="23 Морфол. патол"/>
      <sheetName val="23р"/>
      <sheetName val="Инструмент 1 кардиогр"/>
      <sheetName val="1  р"/>
      <sheetName val="Цена материалов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8">
          <cell r="G28">
            <v>5.28</v>
          </cell>
        </row>
        <row r="31">
          <cell r="P31">
            <v>0.53</v>
          </cell>
        </row>
      </sheetData>
      <sheetData sheetId="55">
        <row r="28">
          <cell r="G28">
            <v>8.1300000000000008</v>
          </cell>
        </row>
      </sheetData>
      <sheetData sheetId="56"/>
      <sheetData sheetId="57"/>
      <sheetData sheetId="5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ервич. обращ."/>
      <sheetName val="1р первич. обращ."/>
      <sheetName val="2 дин. набл."/>
      <sheetName val="2р дин.набл."/>
      <sheetName val="3 анализ ден.сним."/>
      <sheetName val="3р анализ ден.сним."/>
      <sheetName val="4 анализ визиограмм"/>
      <sheetName val="4р анализ визиограмм"/>
      <sheetName val="5 Мотивация "/>
      <sheetName val="5р Мотивация "/>
      <sheetName val="6 Покрытие одного зуба"/>
      <sheetName val="6р Покрытие одного зуба"/>
      <sheetName val="7 Покрытие послед зуба"/>
      <sheetName val="7р Покрытие послед зуба"/>
      <sheetName val="8 Удаление зубного налета"/>
      <sheetName val="8р Удаление зубного налета"/>
      <sheetName val="9 Инструм.удаление"/>
      <sheetName val="9р Инструм.удаление"/>
      <sheetName val="10 Удаление ультразвуком "/>
      <sheetName val="10р Удаление ультразвуком"/>
      <sheetName val="11 Полирование"/>
      <sheetName val="11р Полирование"/>
      <sheetName val="12 Инфильтрац.анестез."/>
      <sheetName val="12р Инфильтрац.анестез."/>
      <sheetName val="13 Провод.анестез."/>
      <sheetName val="13р Провод.анестез."/>
      <sheetName val="13.1 Прим. шприца"/>
      <sheetName val="13.2 Прим. анестетика"/>
      <sheetName val="14 Наложение временной пломбы "/>
      <sheetName val="14р Наложение временной плом "/>
      <sheetName val="15 Удал. одной прочн пломбы"/>
      <sheetName val="15р Удал. одной прочн пломбы"/>
      <sheetName val="16 Удал. одной деф пломбы "/>
      <sheetName val="16р Удал. одной деф пломбы"/>
      <sheetName val="17 Инстилляция"/>
      <sheetName val="17р Инстилляция "/>
      <sheetName val="18 Ретракция  десны"/>
      <sheetName val="18р Ретракция  десны"/>
      <sheetName val="19 Кровоост.ср-ва"/>
      <sheetName val="19р Кровоост.ср-ва"/>
      <sheetName val="20 Коагуляция сосочка"/>
      <sheetName val="20р Коагуляция сосочка"/>
      <sheetName val="21 Мин.инвазив. препарирование"/>
      <sheetName val="21р Мин.инвазив. препарирова "/>
      <sheetName val="22 Препарирование до 113"/>
      <sheetName val="22р Препарирование до 113"/>
      <sheetName val="23 Препарирование до 112"/>
      <sheetName val="23р Препарирование до 112 "/>
      <sheetName val="24 Прпарирование бол 112"/>
      <sheetName val="24р Прпарирование бол 112"/>
      <sheetName val="25 Изг.изол.прок из стеклоион."/>
      <sheetName val="25р Изг.изол.прок из стеклои"/>
      <sheetName val="26 Изг.фотоотв. прокл."/>
      <sheetName val="26р Изг.фотоотв. прокл."/>
      <sheetName val="27 Изг.прок.адг.сист."/>
      <sheetName val="27р Изг.прок.адг.сист."/>
      <sheetName val="28 Изг.кальцийсод.прокл."/>
      <sheetName val="28р Изг.кальцийсод.прокл. "/>
      <sheetName val="29 Налож.девитал.пасты"/>
      <sheetName val="29р Налож.девитал.пасты"/>
      <sheetName val="30 реставрация до 113"/>
      <sheetName val="30р реставрация до 113"/>
      <sheetName val="31 реставрация до 112"/>
      <sheetName val="31р реставрация до 112"/>
      <sheetName val="32 реставрация более 112"/>
      <sheetName val="32р реставрация более 112"/>
      <sheetName val="33 реставрация стеклоин до 113 "/>
      <sheetName val="33р реставрация стеклоин до 113"/>
      <sheetName val="34 реставрация стеклоин до 112"/>
      <sheetName val="34р реставрация стеклоин до 112"/>
      <sheetName val="35 реставрация стеклоин бол.112"/>
      <sheetName val="35р реставрация стеклоин бол12"/>
      <sheetName val="36 виниринговое покрытие"/>
      <sheetName val="36р виниринговое покрытие"/>
      <sheetName val="37 восстав. угла корн."/>
      <sheetName val="37р восстав. угла корн."/>
      <sheetName val="38 восстав. угла корн. кариес"/>
      <sheetName val="38р восстав. угла корн. кари"/>
      <sheetName val="39 полное восст."/>
      <sheetName val="39р полное восст."/>
      <sheetName val="40 полное восст.жев."/>
      <sheetName val="40р полное восст.жев."/>
      <sheetName val="41 наложение мет.матрицы"/>
      <sheetName val="41р наложение мет.матрицы"/>
      <sheetName val="41.1 наложение цел.матрицы"/>
      <sheetName val="41.1р наложение цел.матрицы"/>
      <sheetName val="42 установка клиньев"/>
      <sheetName val="42р установка клиньев"/>
      <sheetName val="43 шлифовка"/>
      <sheetName val="43р шлифовка "/>
      <sheetName val="44 шлифовка из стеклоин."/>
      <sheetName val="44р шлифовка из стеклоин."/>
      <sheetName val="45 Герметизация"/>
      <sheetName val="45р Герметизация"/>
      <sheetName val="46 салфетка "/>
      <sheetName val="цена на материалы"/>
      <sheetName val="ставка"/>
      <sheetName val="прейскурант"/>
      <sheetName val="уровень"/>
      <sheetName val="анализ"/>
      <sheetName val="заказ"/>
    </sheetNames>
    <sheetDataSet>
      <sheetData sheetId="0">
        <row r="11">
          <cell r="A11" t="str">
            <v>Стоматологическое обследование при первичном обращении</v>
          </cell>
        </row>
        <row r="27">
          <cell r="G27">
            <v>5.81</v>
          </cell>
        </row>
        <row r="31">
          <cell r="P31">
            <v>0</v>
          </cell>
        </row>
      </sheetData>
      <sheetData sheetId="1">
        <row r="27">
          <cell r="G27">
            <v>8.0500000000000007</v>
          </cell>
        </row>
      </sheetData>
      <sheetData sheetId="2">
        <row r="11">
          <cell r="A11" t="str">
            <v>Динамическое наблюдение в процессе лечения</v>
          </cell>
        </row>
        <row r="27">
          <cell r="G27">
            <v>3.02</v>
          </cell>
        </row>
        <row r="31">
          <cell r="P31">
            <v>0</v>
          </cell>
        </row>
      </sheetData>
      <sheetData sheetId="3">
        <row r="27">
          <cell r="G27">
            <v>4.0599999999999996</v>
          </cell>
        </row>
      </sheetData>
      <sheetData sheetId="4">
        <row r="11">
          <cell r="A11" t="str">
            <v>Анализ дентальных снимков</v>
          </cell>
        </row>
        <row r="27">
          <cell r="G27">
            <v>1.37</v>
          </cell>
        </row>
        <row r="31">
          <cell r="P31">
            <v>0</v>
          </cell>
        </row>
      </sheetData>
      <sheetData sheetId="5">
        <row r="27">
          <cell r="G27">
            <v>1.92</v>
          </cell>
        </row>
      </sheetData>
      <sheetData sheetId="6">
        <row r="11">
          <cell r="A11" t="str">
            <v>Анализ визиограмм, панорамных рентгенограмм, ортопантомограмм, телерентгенограмм</v>
          </cell>
        </row>
        <row r="27">
          <cell r="G27">
            <v>4.41</v>
          </cell>
        </row>
        <row r="31">
          <cell r="P31">
            <v>0</v>
          </cell>
        </row>
      </sheetData>
      <sheetData sheetId="7">
        <row r="27">
          <cell r="G27">
            <v>5.99</v>
          </cell>
        </row>
      </sheetData>
      <sheetData sheetId="8">
        <row r="27">
          <cell r="G27">
            <v>3.02</v>
          </cell>
        </row>
        <row r="31">
          <cell r="P31">
            <v>0</v>
          </cell>
        </row>
      </sheetData>
      <sheetData sheetId="9">
        <row r="27">
          <cell r="G27">
            <v>4.0599999999999996</v>
          </cell>
        </row>
      </sheetData>
      <sheetData sheetId="10">
        <row r="27">
          <cell r="G27">
            <v>1.23</v>
          </cell>
        </row>
        <row r="31">
          <cell r="P31">
            <v>0.02</v>
          </cell>
        </row>
      </sheetData>
      <sheetData sheetId="11">
        <row r="27">
          <cell r="G27">
            <v>1.65</v>
          </cell>
        </row>
      </sheetData>
      <sheetData sheetId="12">
        <row r="27">
          <cell r="G27">
            <v>0.78</v>
          </cell>
        </row>
        <row r="31">
          <cell r="P31">
            <v>0.02</v>
          </cell>
        </row>
      </sheetData>
      <sheetData sheetId="13">
        <row r="27">
          <cell r="G27">
            <v>1.05</v>
          </cell>
        </row>
      </sheetData>
      <sheetData sheetId="14">
        <row r="27">
          <cell r="G27">
            <v>0.78</v>
          </cell>
        </row>
        <row r="31">
          <cell r="P31">
            <v>0.73</v>
          </cell>
        </row>
      </sheetData>
      <sheetData sheetId="15">
        <row r="27">
          <cell r="G27">
            <v>1.05</v>
          </cell>
        </row>
      </sheetData>
      <sheetData sheetId="16">
        <row r="27">
          <cell r="G27">
            <v>1.69</v>
          </cell>
        </row>
        <row r="31">
          <cell r="P31">
            <v>0.02</v>
          </cell>
        </row>
      </sheetData>
      <sheetData sheetId="17">
        <row r="27">
          <cell r="G27">
            <v>2.3199999999999998</v>
          </cell>
        </row>
      </sheetData>
      <sheetData sheetId="18">
        <row r="27">
          <cell r="G27">
            <v>1.43</v>
          </cell>
        </row>
        <row r="31">
          <cell r="P31">
            <v>0.02</v>
          </cell>
        </row>
      </sheetData>
      <sheetData sheetId="19">
        <row r="27">
          <cell r="G27">
            <v>1.9</v>
          </cell>
        </row>
      </sheetData>
      <sheetData sheetId="20">
        <row r="27">
          <cell r="G27">
            <v>1.23</v>
          </cell>
        </row>
      </sheetData>
      <sheetData sheetId="21">
        <row r="27">
          <cell r="G27">
            <v>1.65</v>
          </cell>
        </row>
        <row r="31">
          <cell r="P31">
            <v>0.84</v>
          </cell>
        </row>
      </sheetData>
      <sheetData sheetId="22">
        <row r="27">
          <cell r="G27">
            <v>3.02</v>
          </cell>
        </row>
        <row r="31">
          <cell r="P31">
            <v>0.02</v>
          </cell>
        </row>
      </sheetData>
      <sheetData sheetId="23">
        <row r="27">
          <cell r="G27">
            <v>4.0599999999999996</v>
          </cell>
        </row>
      </sheetData>
      <sheetData sheetId="24">
        <row r="27">
          <cell r="G27">
            <v>4.3899999999999997</v>
          </cell>
        </row>
        <row r="31">
          <cell r="P31">
            <v>0.02</v>
          </cell>
        </row>
      </sheetData>
      <sheetData sheetId="25">
        <row r="27">
          <cell r="G27">
            <v>5.96</v>
          </cell>
        </row>
      </sheetData>
      <sheetData sheetId="26"/>
      <sheetData sheetId="27"/>
      <sheetData sheetId="28">
        <row r="27">
          <cell r="G27">
            <v>1.37</v>
          </cell>
        </row>
        <row r="31">
          <cell r="P31">
            <v>0.03</v>
          </cell>
        </row>
      </sheetData>
      <sheetData sheetId="29">
        <row r="27">
          <cell r="G27">
            <v>1.9</v>
          </cell>
        </row>
      </sheetData>
      <sheetData sheetId="30">
        <row r="27">
          <cell r="G27">
            <v>3.43</v>
          </cell>
        </row>
        <row r="31">
          <cell r="P31">
            <v>2.58</v>
          </cell>
        </row>
      </sheetData>
      <sheetData sheetId="31">
        <row r="27">
          <cell r="G27">
            <v>4.76</v>
          </cell>
        </row>
      </sheetData>
      <sheetData sheetId="32">
        <row r="27">
          <cell r="G27">
            <v>1.75</v>
          </cell>
        </row>
        <row r="31">
          <cell r="P31">
            <v>1.94</v>
          </cell>
        </row>
      </sheetData>
      <sheetData sheetId="33">
        <row r="27">
          <cell r="G27">
            <v>2.41</v>
          </cell>
        </row>
      </sheetData>
      <sheetData sheetId="34">
        <row r="27">
          <cell r="G27">
            <v>0.78</v>
          </cell>
        </row>
        <row r="31">
          <cell r="P31">
            <v>1</v>
          </cell>
        </row>
      </sheetData>
      <sheetData sheetId="35">
        <row r="27">
          <cell r="G27">
            <v>1.05</v>
          </cell>
        </row>
      </sheetData>
      <sheetData sheetId="36">
        <row r="27">
          <cell r="G27">
            <v>0.78</v>
          </cell>
        </row>
        <row r="31">
          <cell r="P31">
            <v>0</v>
          </cell>
        </row>
      </sheetData>
      <sheetData sheetId="37">
        <row r="27">
          <cell r="G27">
            <v>1.05</v>
          </cell>
        </row>
      </sheetData>
      <sheetData sheetId="38">
        <row r="27">
          <cell r="G27">
            <v>0.78</v>
          </cell>
        </row>
        <row r="31">
          <cell r="P31">
            <v>0</v>
          </cell>
        </row>
      </sheetData>
      <sheetData sheetId="39">
        <row r="27">
          <cell r="G27">
            <v>1.05</v>
          </cell>
        </row>
      </sheetData>
      <sheetData sheetId="40">
        <row r="27">
          <cell r="G27">
            <v>1.22</v>
          </cell>
        </row>
        <row r="31">
          <cell r="P31">
            <v>0.02</v>
          </cell>
        </row>
      </sheetData>
      <sheetData sheetId="41">
        <row r="27">
          <cell r="G27">
            <v>1.65</v>
          </cell>
        </row>
      </sheetData>
      <sheetData sheetId="42">
        <row r="27">
          <cell r="G27">
            <v>2.87</v>
          </cell>
        </row>
        <row r="31">
          <cell r="P31">
            <v>1.56</v>
          </cell>
        </row>
      </sheetData>
      <sheetData sheetId="43">
        <row r="27">
          <cell r="G27">
            <v>3.82</v>
          </cell>
        </row>
      </sheetData>
      <sheetData sheetId="44">
        <row r="27">
          <cell r="G27">
            <v>4.29</v>
          </cell>
        </row>
        <row r="31">
          <cell r="P31">
            <v>1.94</v>
          </cell>
        </row>
      </sheetData>
      <sheetData sheetId="45">
        <row r="27">
          <cell r="G27">
            <v>5.73</v>
          </cell>
        </row>
      </sheetData>
      <sheetData sheetId="46">
        <row r="27">
          <cell r="G27">
            <v>6.3</v>
          </cell>
        </row>
        <row r="31">
          <cell r="P31">
            <v>2.58</v>
          </cell>
        </row>
      </sheetData>
      <sheetData sheetId="47">
        <row r="27">
          <cell r="G27">
            <v>8.4</v>
          </cell>
        </row>
      </sheetData>
      <sheetData sheetId="48">
        <row r="27">
          <cell r="G27">
            <v>8.14</v>
          </cell>
        </row>
        <row r="31">
          <cell r="P31">
            <v>3.88</v>
          </cell>
        </row>
      </sheetData>
      <sheetData sheetId="49">
        <row r="27">
          <cell r="G27">
            <v>10.85</v>
          </cell>
        </row>
      </sheetData>
      <sheetData sheetId="50">
        <row r="27">
          <cell r="G27">
            <v>3.48</v>
          </cell>
        </row>
        <row r="31">
          <cell r="P31">
            <v>11.88</v>
          </cell>
        </row>
      </sheetData>
      <sheetData sheetId="51">
        <row r="27">
          <cell r="G27">
            <v>4.63</v>
          </cell>
        </row>
      </sheetData>
      <sheetData sheetId="52">
        <row r="27">
          <cell r="G27">
            <v>2.87</v>
          </cell>
        </row>
        <row r="31">
          <cell r="P31">
            <v>1.1499999999999999</v>
          </cell>
        </row>
      </sheetData>
      <sheetData sheetId="53">
        <row r="27">
          <cell r="G27">
            <v>3.82</v>
          </cell>
        </row>
      </sheetData>
      <sheetData sheetId="54">
        <row r="27">
          <cell r="G27">
            <v>2.87</v>
          </cell>
        </row>
        <row r="31">
          <cell r="P31">
            <v>3.52</v>
          </cell>
        </row>
      </sheetData>
      <sheetData sheetId="55">
        <row r="27">
          <cell r="G27">
            <v>3.82</v>
          </cell>
        </row>
      </sheetData>
      <sheetData sheetId="56">
        <row r="27">
          <cell r="G27">
            <v>2.87</v>
          </cell>
        </row>
        <row r="31">
          <cell r="P31">
            <v>0</v>
          </cell>
        </row>
      </sheetData>
      <sheetData sheetId="57">
        <row r="27">
          <cell r="G27">
            <v>3.82</v>
          </cell>
        </row>
      </sheetData>
      <sheetData sheetId="58">
        <row r="27">
          <cell r="G27">
            <v>1.43</v>
          </cell>
        </row>
        <row r="31">
          <cell r="P31">
            <v>0.26</v>
          </cell>
        </row>
      </sheetData>
      <sheetData sheetId="59">
        <row r="27">
          <cell r="G27">
            <v>1.9</v>
          </cell>
        </row>
      </sheetData>
      <sheetData sheetId="60">
        <row r="27">
          <cell r="G27">
            <v>8.69</v>
          </cell>
        </row>
        <row r="31">
          <cell r="P31">
            <v>7.52</v>
          </cell>
        </row>
      </sheetData>
      <sheetData sheetId="61">
        <row r="27">
          <cell r="G27">
            <v>11.59</v>
          </cell>
        </row>
      </sheetData>
      <sheetData sheetId="62">
        <row r="27">
          <cell r="G27">
            <v>10.42</v>
          </cell>
        </row>
        <row r="31">
          <cell r="P31">
            <v>10.029999999999999</v>
          </cell>
        </row>
      </sheetData>
      <sheetData sheetId="63">
        <row r="27">
          <cell r="G27">
            <v>13.89</v>
          </cell>
        </row>
      </sheetData>
      <sheetData sheetId="64">
        <row r="27">
          <cell r="G27">
            <v>12.22</v>
          </cell>
        </row>
        <row r="31">
          <cell r="P31">
            <v>12.54</v>
          </cell>
        </row>
      </sheetData>
      <sheetData sheetId="65">
        <row r="27">
          <cell r="G27">
            <v>16.3</v>
          </cell>
        </row>
      </sheetData>
      <sheetData sheetId="66">
        <row r="27">
          <cell r="G27">
            <v>8.69</v>
          </cell>
        </row>
        <row r="31">
          <cell r="P31">
            <v>15.84</v>
          </cell>
        </row>
      </sheetData>
      <sheetData sheetId="67">
        <row r="27">
          <cell r="G27">
            <v>11.59</v>
          </cell>
        </row>
      </sheetData>
      <sheetData sheetId="68">
        <row r="27">
          <cell r="G27">
            <v>9.08</v>
          </cell>
        </row>
        <row r="31">
          <cell r="P31">
            <v>19.8</v>
          </cell>
        </row>
      </sheetData>
      <sheetData sheetId="69">
        <row r="27">
          <cell r="G27">
            <v>12.11</v>
          </cell>
        </row>
      </sheetData>
      <sheetData sheetId="70">
        <row r="27">
          <cell r="G27">
            <v>10.69</v>
          </cell>
        </row>
        <row r="31">
          <cell r="P31">
            <v>23.76</v>
          </cell>
        </row>
      </sheetData>
      <sheetData sheetId="71">
        <row r="27">
          <cell r="G27">
            <v>14.25</v>
          </cell>
        </row>
      </sheetData>
      <sheetData sheetId="72">
        <row r="27">
          <cell r="G27">
            <v>6.07</v>
          </cell>
        </row>
        <row r="31">
          <cell r="P31">
            <v>1.1599999999999999</v>
          </cell>
        </row>
      </sheetData>
      <sheetData sheetId="73">
        <row r="27">
          <cell r="G27">
            <v>8.09</v>
          </cell>
        </row>
      </sheetData>
      <sheetData sheetId="74">
        <row r="27">
          <cell r="G27">
            <v>3.02</v>
          </cell>
        </row>
        <row r="31">
          <cell r="P31">
            <v>1.1599999999999999</v>
          </cell>
        </row>
      </sheetData>
      <sheetData sheetId="75">
        <row r="27">
          <cell r="G27">
            <v>4.03</v>
          </cell>
        </row>
      </sheetData>
      <sheetData sheetId="76">
        <row r="27">
          <cell r="G27">
            <v>4.5999999999999996</v>
          </cell>
        </row>
        <row r="31">
          <cell r="P31">
            <v>1.1599999999999999</v>
          </cell>
        </row>
      </sheetData>
      <sheetData sheetId="77">
        <row r="27">
          <cell r="G27">
            <v>6.13</v>
          </cell>
        </row>
      </sheetData>
      <sheetData sheetId="78">
        <row r="27">
          <cell r="G27">
            <v>7.64</v>
          </cell>
        </row>
      </sheetData>
      <sheetData sheetId="79">
        <row r="27">
          <cell r="G27">
            <v>10.19</v>
          </cell>
        </row>
        <row r="30">
          <cell r="P30">
            <v>1.1599999999999999</v>
          </cell>
        </row>
      </sheetData>
      <sheetData sheetId="80">
        <row r="27">
          <cell r="G27">
            <v>9.08</v>
          </cell>
        </row>
        <row r="31">
          <cell r="P31">
            <v>1.1599999999999999</v>
          </cell>
        </row>
      </sheetData>
      <sheetData sheetId="81">
        <row r="27">
          <cell r="G27">
            <v>12.11</v>
          </cell>
        </row>
      </sheetData>
      <sheetData sheetId="82">
        <row r="27">
          <cell r="G27">
            <v>1.08</v>
          </cell>
        </row>
        <row r="31">
          <cell r="P31">
            <v>7.0000000000000007E-2</v>
          </cell>
        </row>
      </sheetData>
      <sheetData sheetId="83">
        <row r="27">
          <cell r="G27">
            <v>1.44</v>
          </cell>
        </row>
      </sheetData>
      <sheetData sheetId="84">
        <row r="31">
          <cell r="P31">
            <v>0.01</v>
          </cell>
        </row>
      </sheetData>
      <sheetData sheetId="85"/>
      <sheetData sheetId="86">
        <row r="27">
          <cell r="G27">
            <v>0.55000000000000004</v>
          </cell>
        </row>
        <row r="31">
          <cell r="P31">
            <v>0</v>
          </cell>
        </row>
      </sheetData>
      <sheetData sheetId="87">
        <row r="27">
          <cell r="G27">
            <v>0.73</v>
          </cell>
        </row>
      </sheetData>
      <sheetData sheetId="88">
        <row r="27">
          <cell r="G27">
            <v>4.55</v>
          </cell>
        </row>
        <row r="31">
          <cell r="P31">
            <v>1.62</v>
          </cell>
        </row>
      </sheetData>
      <sheetData sheetId="89">
        <row r="27">
          <cell r="G27">
            <v>6.06</v>
          </cell>
        </row>
      </sheetData>
      <sheetData sheetId="90">
        <row r="27">
          <cell r="G27">
            <v>2.98</v>
          </cell>
        </row>
        <row r="31">
          <cell r="P31">
            <v>1.62</v>
          </cell>
        </row>
      </sheetData>
      <sheetData sheetId="91">
        <row r="27">
          <cell r="G27">
            <v>3.98</v>
          </cell>
        </row>
      </sheetData>
      <sheetData sheetId="92">
        <row r="27">
          <cell r="G27">
            <v>1.52</v>
          </cell>
        </row>
        <row r="31">
          <cell r="P31">
            <v>0</v>
          </cell>
        </row>
      </sheetData>
      <sheetData sheetId="93">
        <row r="27">
          <cell r="G27">
            <v>2.0299999999999998</v>
          </cell>
        </row>
      </sheetData>
      <sheetData sheetId="94">
        <row r="5">
          <cell r="B5" t="str">
            <v>Применение салфетки для пациента одноразовой</v>
          </cell>
          <cell r="H5">
            <v>0.12</v>
          </cell>
        </row>
        <row r="6">
          <cell r="B6" t="str">
            <v>Применение наконечника на слюноотсос одноразового</v>
          </cell>
          <cell r="H6">
            <v>0.06</v>
          </cell>
        </row>
        <row r="7">
          <cell r="B7" t="str">
            <v>Применение пары медицинских одноразовых перчаток</v>
          </cell>
          <cell r="H7">
            <v>0.9</v>
          </cell>
        </row>
        <row r="8">
          <cell r="B8" t="str">
            <v>Применение валиков стоматологических (вата)</v>
          </cell>
          <cell r="H8">
            <v>0.08</v>
          </cell>
        </row>
        <row r="9">
          <cell r="B9" t="str">
            <v>Применение микроаппликатора</v>
          </cell>
          <cell r="H9">
            <v>0.05</v>
          </cell>
        </row>
        <row r="10">
          <cell r="B10" t="str">
            <v>Применение  адгезива (один зуб)</v>
          </cell>
          <cell r="H10">
            <v>3.52</v>
          </cell>
        </row>
        <row r="11">
          <cell r="B11" t="str">
            <v>Применение  протравки (один зуб)</v>
          </cell>
        </row>
        <row r="12">
          <cell r="B12" t="str">
            <v xml:space="preserve">Применение штрипсы </v>
          </cell>
          <cell r="H12">
            <v>0.31</v>
          </cell>
        </row>
        <row r="13">
          <cell r="B13" t="str">
            <v>Применение диска полировочного</v>
          </cell>
          <cell r="H13">
            <v>1.24</v>
          </cell>
        </row>
        <row r="14">
          <cell r="B14" t="str">
            <v>Применение одноразового шприца  с иглой 2А</v>
          </cell>
          <cell r="H14">
            <v>0.13</v>
          </cell>
        </row>
        <row r="15">
          <cell r="B15" t="str">
            <v>Раствор лекарственного средства для анестизии (ультракаин Д-С Форте  40мг/мл 0,012 мг/мл 1,7 мл, картридж № 100)</v>
          </cell>
          <cell r="H15">
            <v>1.44</v>
          </cell>
        </row>
      </sheetData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ечень"/>
      <sheetName val="1р печень"/>
      <sheetName val="2 печень с опр."/>
      <sheetName val="2р печень с опр."/>
      <sheetName val="3 поджел."/>
      <sheetName val="3р поджел."/>
      <sheetName val="4 селезенка"/>
      <sheetName val="4р селезенка"/>
      <sheetName val="5 кишечник без"/>
      <sheetName val="5р кишечник без"/>
      <sheetName val="6 желудок с зап."/>
      <sheetName val="6р желудок с зап. "/>
      <sheetName val="7 почки"/>
      <sheetName val="7р почки"/>
      <sheetName val="8 мочевой"/>
      <sheetName val="8р мочевой"/>
      <sheetName val="9 мочевой с опр."/>
      <sheetName val="9р мочевой с опр."/>
      <sheetName val="10 почки"/>
      <sheetName val="10р почки "/>
      <sheetName val="11 почки с опр."/>
      <sheetName val="11р почки с опр."/>
      <sheetName val="12 пред.железа"/>
      <sheetName val="12р пред.железа "/>
      <sheetName val="13 пред. жел. тран."/>
      <sheetName val="13р пред. жел. тран."/>
      <sheetName val="14 мошонка"/>
      <sheetName val="14р мошонка"/>
      <sheetName val="15 половой член"/>
      <sheetName val="15р половой член "/>
      <sheetName val="16 матка тран."/>
      <sheetName val="16р матка тран. "/>
      <sheetName val="17 матка транс."/>
      <sheetName val="17р матка транс. "/>
      <sheetName val="18 органы брюш.пол."/>
      <sheetName val="18р органы брюш.пол. "/>
      <sheetName val="19 щит.железа"/>
      <sheetName val="19р щит.железа "/>
      <sheetName val="20 мол. железа"/>
      <sheetName val="20р мол. железа "/>
      <sheetName val="21 слюн.железы"/>
      <sheetName val="21р слюн.железы "/>
      <sheetName val="22 мягкие тк."/>
      <sheetName val="22р мягкие тк. "/>
      <sheetName val="23 суставы"/>
      <sheetName val="23р суставы "/>
      <sheetName val="24 суставы пар."/>
      <sheetName val="24р суставы пар. "/>
      <sheetName val="25 плеврал. пол."/>
      <sheetName val="25р плеврал. пол. "/>
      <sheetName val="26 лимф. узлы"/>
      <sheetName val="26р лимф. узлы "/>
      <sheetName val="27 мышцы"/>
      <sheetName val="27р мышцы "/>
      <sheetName val="28 уродинамика моч. пут."/>
      <sheetName val="28р уродинамика моч. пут. "/>
      <sheetName val="29 эхокардиография"/>
      <sheetName val="29р эхокардиография "/>
      <sheetName val="30 эхокард тк.допп."/>
      <sheetName val="30р эхокард тк.допп."/>
      <sheetName val="31 арт. басс."/>
      <sheetName val="31р арт.басс. "/>
      <sheetName val="32 веноз.басс."/>
      <sheetName val="32р веноз.басс. "/>
      <sheetName val="33 дуплексное"/>
      <sheetName val="33р дуплексное "/>
      <sheetName val="34 гол.мозг"/>
      <sheetName val="34р гол.мозг "/>
      <sheetName val="35 брюш.полость"/>
      <sheetName val="35р брюш.полость"/>
      <sheetName val="36 один атом. рег."/>
      <sheetName val="36р один атом. рег. "/>
      <sheetName val="цена материалов"/>
      <sheetName val="тариф.ставка"/>
      <sheetName val="прейскурант"/>
      <sheetName val="прейскурант сокращ.вар."/>
      <sheetName val="уровень цен"/>
      <sheetName val="анализ"/>
    </sheetNames>
    <sheetDataSet>
      <sheetData sheetId="0">
        <row r="28">
          <cell r="O28">
            <v>0.52</v>
          </cell>
        </row>
      </sheetData>
      <sheetData sheetId="1"/>
      <sheetData sheetId="2">
        <row r="28">
          <cell r="O28">
            <v>0.57999999999999996</v>
          </cell>
        </row>
      </sheetData>
      <sheetData sheetId="3"/>
      <sheetData sheetId="4">
        <row r="28">
          <cell r="O28">
            <v>0.52</v>
          </cell>
        </row>
      </sheetData>
      <sheetData sheetId="5"/>
      <sheetData sheetId="6">
        <row r="28">
          <cell r="O28">
            <v>0.52</v>
          </cell>
        </row>
      </sheetData>
      <sheetData sheetId="7"/>
      <sheetData sheetId="8">
        <row r="28">
          <cell r="O28">
            <v>0.52</v>
          </cell>
        </row>
      </sheetData>
      <sheetData sheetId="9"/>
      <sheetData sheetId="10">
        <row r="28">
          <cell r="O28">
            <v>0.57999999999999996</v>
          </cell>
        </row>
      </sheetData>
      <sheetData sheetId="11"/>
      <sheetData sheetId="12">
        <row r="28">
          <cell r="O28">
            <v>0.52</v>
          </cell>
        </row>
      </sheetData>
      <sheetData sheetId="13"/>
      <sheetData sheetId="14">
        <row r="28">
          <cell r="O28">
            <v>0.52</v>
          </cell>
        </row>
      </sheetData>
      <sheetData sheetId="15"/>
      <sheetData sheetId="16">
        <row r="28">
          <cell r="O28">
            <v>0.57999999999999996</v>
          </cell>
        </row>
      </sheetData>
      <sheetData sheetId="17"/>
      <sheetData sheetId="18">
        <row r="28">
          <cell r="O28">
            <v>0.57999999999999996</v>
          </cell>
        </row>
      </sheetData>
      <sheetData sheetId="19"/>
      <sheetData sheetId="20">
        <row r="28">
          <cell r="O28">
            <v>0.57999999999999996</v>
          </cell>
        </row>
      </sheetData>
      <sheetData sheetId="21"/>
      <sheetData sheetId="22">
        <row r="28">
          <cell r="O28">
            <v>0.57999999999999996</v>
          </cell>
        </row>
      </sheetData>
      <sheetData sheetId="23"/>
      <sheetData sheetId="24">
        <row r="28">
          <cell r="O28">
            <v>1</v>
          </cell>
        </row>
      </sheetData>
      <sheetData sheetId="25"/>
      <sheetData sheetId="26">
        <row r="28">
          <cell r="O28">
            <v>0.52</v>
          </cell>
        </row>
      </sheetData>
      <sheetData sheetId="27"/>
      <sheetData sheetId="28">
        <row r="28">
          <cell r="O28">
            <v>0.52</v>
          </cell>
        </row>
      </sheetData>
      <sheetData sheetId="29"/>
      <sheetData sheetId="30">
        <row r="28">
          <cell r="O28">
            <v>0.52</v>
          </cell>
        </row>
      </sheetData>
      <sheetData sheetId="31"/>
      <sheetData sheetId="32">
        <row r="28">
          <cell r="O28">
            <v>1</v>
          </cell>
        </row>
      </sheetData>
      <sheetData sheetId="33"/>
      <sheetData sheetId="34">
        <row r="28">
          <cell r="O28">
            <v>0.57999999999999996</v>
          </cell>
        </row>
      </sheetData>
      <sheetData sheetId="35"/>
      <sheetData sheetId="36">
        <row r="28">
          <cell r="O28">
            <v>0.52</v>
          </cell>
        </row>
      </sheetData>
      <sheetData sheetId="37"/>
      <sheetData sheetId="38">
        <row r="28">
          <cell r="O28">
            <v>0.57999999999999996</v>
          </cell>
        </row>
      </sheetData>
      <sheetData sheetId="39"/>
      <sheetData sheetId="40">
        <row r="28">
          <cell r="O28">
            <v>0.52</v>
          </cell>
        </row>
      </sheetData>
      <sheetData sheetId="41"/>
      <sheetData sheetId="42">
        <row r="28">
          <cell r="O28">
            <v>0.52</v>
          </cell>
        </row>
      </sheetData>
      <sheetData sheetId="43"/>
      <sheetData sheetId="44">
        <row r="28">
          <cell r="O28">
            <v>0.52</v>
          </cell>
        </row>
      </sheetData>
      <sheetData sheetId="45"/>
      <sheetData sheetId="46">
        <row r="28">
          <cell r="O28">
            <v>0.57999999999999996</v>
          </cell>
        </row>
      </sheetData>
      <sheetData sheetId="47"/>
      <sheetData sheetId="48">
        <row r="28">
          <cell r="O28">
            <v>0.52</v>
          </cell>
        </row>
      </sheetData>
      <sheetData sheetId="49"/>
      <sheetData sheetId="50">
        <row r="28">
          <cell r="O28">
            <v>0.57999999999999996</v>
          </cell>
        </row>
      </sheetData>
      <sheetData sheetId="51"/>
      <sheetData sheetId="52">
        <row r="28">
          <cell r="O28">
            <v>0.52</v>
          </cell>
        </row>
      </sheetData>
      <sheetData sheetId="53"/>
      <sheetData sheetId="54">
        <row r="28">
          <cell r="O28">
            <v>0.52</v>
          </cell>
        </row>
      </sheetData>
      <sheetData sheetId="55"/>
      <sheetData sheetId="56">
        <row r="28">
          <cell r="O28">
            <v>0.55000000000000004</v>
          </cell>
        </row>
      </sheetData>
      <sheetData sheetId="57"/>
      <sheetData sheetId="58">
        <row r="28">
          <cell r="O28">
            <v>0.55000000000000004</v>
          </cell>
        </row>
      </sheetData>
      <sheetData sheetId="59"/>
      <sheetData sheetId="60">
        <row r="28">
          <cell r="O28">
            <v>0.57999999999999996</v>
          </cell>
        </row>
      </sheetData>
      <sheetData sheetId="61"/>
      <sheetData sheetId="62">
        <row r="28">
          <cell r="O28">
            <v>0.57999999999999996</v>
          </cell>
        </row>
      </sheetData>
      <sheetData sheetId="63"/>
      <sheetData sheetId="64">
        <row r="28">
          <cell r="O28">
            <v>0.57999999999999996</v>
          </cell>
        </row>
      </sheetData>
      <sheetData sheetId="65"/>
      <sheetData sheetId="66">
        <row r="28">
          <cell r="O28">
            <v>0.57999999999999996</v>
          </cell>
        </row>
      </sheetData>
      <sheetData sheetId="67"/>
      <sheetData sheetId="68">
        <row r="28">
          <cell r="O28">
            <v>0.57999999999999996</v>
          </cell>
        </row>
      </sheetData>
      <sheetData sheetId="69"/>
      <sheetData sheetId="70">
        <row r="28">
          <cell r="O28">
            <v>0.99</v>
          </cell>
        </row>
      </sheetData>
      <sheetData sheetId="71"/>
      <sheetData sheetId="72"/>
      <sheetData sheetId="73"/>
      <sheetData sheetId="74"/>
      <sheetData sheetId="75"/>
      <sheetData sheetId="76">
        <row r="10">
          <cell r="C10" t="str">
            <v>исследование</v>
          </cell>
          <cell r="D10">
            <v>7.72</v>
          </cell>
          <cell r="E10">
            <v>9.65</v>
          </cell>
        </row>
        <row r="11">
          <cell r="C11" t="str">
            <v>исследование</v>
          </cell>
          <cell r="D11">
            <v>12.82</v>
          </cell>
          <cell r="E11">
            <v>16.02</v>
          </cell>
        </row>
        <row r="12">
          <cell r="C12" t="str">
            <v>исследование</v>
          </cell>
          <cell r="D12">
            <v>7.72</v>
          </cell>
          <cell r="E12">
            <v>9.65</v>
          </cell>
        </row>
        <row r="13">
          <cell r="C13" t="str">
            <v>исследование</v>
          </cell>
          <cell r="D13">
            <v>5.16</v>
          </cell>
          <cell r="E13">
            <v>6.45</v>
          </cell>
        </row>
        <row r="14">
          <cell r="C14" t="str">
            <v>исследование</v>
          </cell>
          <cell r="D14">
            <v>5.16</v>
          </cell>
          <cell r="E14">
            <v>6.45</v>
          </cell>
        </row>
        <row r="15">
          <cell r="C15" t="str">
            <v>исследование</v>
          </cell>
          <cell r="D15">
            <v>10.26</v>
          </cell>
          <cell r="E15">
            <v>12.83</v>
          </cell>
        </row>
        <row r="17">
          <cell r="C17" t="str">
            <v>исследование</v>
          </cell>
          <cell r="D17">
            <v>10.26</v>
          </cell>
          <cell r="E17">
            <v>12.83</v>
          </cell>
        </row>
        <row r="18">
          <cell r="C18" t="str">
            <v>исследование</v>
          </cell>
          <cell r="D18">
            <v>5.16</v>
          </cell>
          <cell r="E18">
            <v>6.45</v>
          </cell>
        </row>
        <row r="19">
          <cell r="C19" t="str">
            <v>исследование</v>
          </cell>
          <cell r="D19">
            <v>7.72</v>
          </cell>
          <cell r="E19">
            <v>9.65</v>
          </cell>
        </row>
        <row r="20">
          <cell r="C20" t="str">
            <v>исследование</v>
          </cell>
          <cell r="D20">
            <v>12.82</v>
          </cell>
          <cell r="E20">
            <v>16.02</v>
          </cell>
        </row>
        <row r="21">
          <cell r="C21" t="str">
            <v>исследование</v>
          </cell>
          <cell r="D21">
            <v>15.37</v>
          </cell>
          <cell r="E21">
            <v>19.22</v>
          </cell>
        </row>
        <row r="22">
          <cell r="C22" t="str">
            <v>исследование</v>
          </cell>
          <cell r="D22">
            <v>12.82</v>
          </cell>
          <cell r="E22">
            <v>16.02</v>
          </cell>
        </row>
        <row r="23">
          <cell r="C23" t="str">
            <v>исследование</v>
          </cell>
          <cell r="D23">
            <v>12.82</v>
          </cell>
          <cell r="E23">
            <v>16.02</v>
          </cell>
        </row>
        <row r="24">
          <cell r="C24" t="str">
            <v>исследование</v>
          </cell>
          <cell r="D24">
            <v>7.72</v>
          </cell>
          <cell r="E24">
            <v>9.65</v>
          </cell>
        </row>
        <row r="25">
          <cell r="C25" t="str">
            <v>исследование</v>
          </cell>
          <cell r="D25">
            <v>10.26</v>
          </cell>
          <cell r="E25">
            <v>12.83</v>
          </cell>
        </row>
        <row r="26">
          <cell r="C26" t="str">
            <v>исследование</v>
          </cell>
          <cell r="D26">
            <v>10.26</v>
          </cell>
          <cell r="E26">
            <v>12.83</v>
          </cell>
        </row>
        <row r="27">
          <cell r="C27" t="str">
            <v>исследование</v>
          </cell>
          <cell r="D27">
            <v>10.26</v>
          </cell>
          <cell r="E27">
            <v>12.83</v>
          </cell>
        </row>
        <row r="28">
          <cell r="C28" t="str">
            <v>исследование</v>
          </cell>
          <cell r="D28">
            <v>25.62</v>
          </cell>
          <cell r="E28">
            <v>32.03</v>
          </cell>
        </row>
        <row r="30">
          <cell r="D30">
            <v>10.26</v>
          </cell>
          <cell r="E30">
            <v>12.83</v>
          </cell>
        </row>
        <row r="31">
          <cell r="D31">
            <v>12.82</v>
          </cell>
          <cell r="E31">
            <v>16.02</v>
          </cell>
        </row>
        <row r="32">
          <cell r="D32">
            <v>5.16</v>
          </cell>
          <cell r="E32">
            <v>6.45</v>
          </cell>
        </row>
        <row r="33">
          <cell r="D33">
            <v>5.16</v>
          </cell>
          <cell r="E33">
            <v>6.45</v>
          </cell>
        </row>
        <row r="34">
          <cell r="D34">
            <v>7.72</v>
          </cell>
          <cell r="E34">
            <v>9.65</v>
          </cell>
        </row>
        <row r="35">
          <cell r="D35">
            <v>10.26</v>
          </cell>
          <cell r="E35">
            <v>12.83</v>
          </cell>
        </row>
        <row r="36">
          <cell r="D36">
            <v>5.16</v>
          </cell>
          <cell r="E36">
            <v>6.45</v>
          </cell>
        </row>
        <row r="37">
          <cell r="D37">
            <v>5.16</v>
          </cell>
          <cell r="E37">
            <v>6.45</v>
          </cell>
        </row>
        <row r="38">
          <cell r="D38">
            <v>5.16</v>
          </cell>
          <cell r="E38">
            <v>6.45</v>
          </cell>
        </row>
        <row r="40">
          <cell r="C40" t="str">
            <v>исследование</v>
          </cell>
          <cell r="D40">
            <v>15.37</v>
          </cell>
          <cell r="E40">
            <v>19.22</v>
          </cell>
        </row>
        <row r="41">
          <cell r="C41" t="str">
            <v>исследование</v>
          </cell>
          <cell r="D41">
            <v>23.02</v>
          </cell>
          <cell r="E41">
            <v>28.77</v>
          </cell>
        </row>
        <row r="42">
          <cell r="C42" t="str">
            <v>исследование</v>
          </cell>
          <cell r="D42">
            <v>30.7</v>
          </cell>
          <cell r="E42">
            <v>38.369999999999997</v>
          </cell>
        </row>
        <row r="43">
          <cell r="C43" t="str">
            <v>исследование</v>
          </cell>
          <cell r="D43">
            <v>15.37</v>
          </cell>
          <cell r="E43">
            <v>19.22</v>
          </cell>
        </row>
        <row r="44">
          <cell r="C44" t="str">
            <v>исследование</v>
          </cell>
          <cell r="D44">
            <v>15.37</v>
          </cell>
          <cell r="E44">
            <v>19.22</v>
          </cell>
        </row>
        <row r="45">
          <cell r="C45" t="str">
            <v>исследование</v>
          </cell>
          <cell r="D45">
            <v>20.46</v>
          </cell>
          <cell r="E45">
            <v>25.58</v>
          </cell>
        </row>
        <row r="46">
          <cell r="C46" t="str">
            <v>исследование</v>
          </cell>
          <cell r="D46">
            <v>20.46</v>
          </cell>
          <cell r="E46">
            <v>25.58</v>
          </cell>
        </row>
        <row r="47">
          <cell r="C47" t="str">
            <v>исследование</v>
          </cell>
          <cell r="D47">
            <v>20.46</v>
          </cell>
          <cell r="E47">
            <v>25.58</v>
          </cell>
        </row>
        <row r="48">
          <cell r="C48" t="str">
            <v>исследование</v>
          </cell>
          <cell r="D48">
            <v>10.26</v>
          </cell>
          <cell r="E48">
            <v>12.83</v>
          </cell>
        </row>
      </sheetData>
      <sheetData sheetId="77">
        <row r="9">
          <cell r="B9" t="str">
            <v>Печень, желчный пузырь без определения функции</v>
          </cell>
        </row>
        <row r="10">
          <cell r="B10" t="str">
            <v>Печень, желчный пузырь с определением функции</v>
          </cell>
        </row>
        <row r="11">
          <cell r="B11" t="str">
            <v>Поджелудочная железа</v>
          </cell>
        </row>
        <row r="12">
          <cell r="B12" t="str">
            <v>Селезенка</v>
          </cell>
        </row>
        <row r="13">
          <cell r="B13" t="str">
            <v>Кишечник без заполнения жидкостью</v>
          </cell>
        </row>
        <row r="14">
          <cell r="B14" t="str">
            <v>Желудок с заполнением жидкостью</v>
          </cell>
        </row>
        <row r="16">
          <cell r="B16" t="str">
            <v>Почки и надпочечники</v>
          </cell>
        </row>
        <row r="17">
          <cell r="B17" t="str">
            <v>Мочевой пузырь</v>
          </cell>
        </row>
        <row r="18">
          <cell r="B18" t="str">
            <v>Мочевой пузырь с определением остаточной мочи</v>
          </cell>
        </row>
        <row r="19">
          <cell r="B19" t="str">
            <v>Почки, надпочечники и мочевой пузырь</v>
          </cell>
        </row>
        <row r="20">
          <cell r="B20" t="str">
            <v>Почки, надпочечники и мочевой пузырь с определением остаточной мочи</v>
          </cell>
        </row>
        <row r="21">
          <cell r="B21" t="str">
            <v>Предстательная железа с мочевым пузырем и определением остаточной мочи (трансабдоминально)</v>
          </cell>
        </row>
        <row r="22">
          <cell r="B22" t="str">
            <v>Предстательная железа (трансректально)</v>
          </cell>
        </row>
        <row r="23">
          <cell r="B23" t="str">
            <v>Мошонка</v>
          </cell>
        </row>
        <row r="24">
          <cell r="B24" t="str">
            <v>Половой член</v>
          </cell>
        </row>
        <row r="25">
          <cell r="B25" t="str">
            <v>Матка и придатки с мочевым пузырём (трансабдоминально)</v>
          </cell>
        </row>
        <row r="26">
          <cell r="B26" t="str">
            <v>Матка и придатки (трансвагинально)</v>
          </cell>
        </row>
        <row r="27">
          <cell r="B27" t="str">
            <v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v>
          </cell>
        </row>
        <row r="29">
          <cell r="B29" t="str">
            <v>Щитовидная железа с лимфатическими поверхностными узлами</v>
          </cell>
        </row>
        <row r="30">
          <cell r="B30" t="str">
            <v>Молочные железы с лимфатическими поверхностными узлами</v>
          </cell>
        </row>
        <row r="31">
          <cell r="B31" t="str">
            <v>Слюнные железы (или подчелюстные или околоушные)</v>
          </cell>
        </row>
        <row r="32">
          <cell r="B32" t="str">
            <v>Мягкие ткани</v>
          </cell>
        </row>
        <row r="33">
          <cell r="B33" t="str">
            <v>Суставы непарные</v>
          </cell>
        </row>
        <row r="34">
          <cell r="B34" t="str">
            <v>Суставы парные</v>
          </cell>
        </row>
        <row r="35">
          <cell r="B35" t="str">
            <v>Плевральная полость</v>
          </cell>
        </row>
        <row r="36">
          <cell r="B36" t="str">
            <v>Лимфатические узлы (одна область с обеих сторон)</v>
          </cell>
        </row>
        <row r="37">
          <cell r="B37" t="str">
            <v>Мышцы (одна группа с обеих сторон)</v>
          </cell>
        </row>
        <row r="39">
          <cell r="B39" t="str">
            <v>Определение уродинамики мочевыводящих путей с помощью допплерографии</v>
          </cell>
        </row>
        <row r="40">
          <cell r="B40" t="str">
            <v>Эхокардиография (М+В режим + допплер + цветное картирование)</v>
          </cell>
        </row>
        <row r="41">
          <cell r="B41" t="str">
            <v>Эхокардиография (М+В режим + допплер + цветное картирование + тканевая допплерография)</v>
          </cell>
        </row>
        <row r="42">
          <cell r="B42" t="str">
            <v>Ультразвуковая допплерография (УЗДГ) одного артериального бассейна (брахиоцефальных артерий или артерий верхних конечностей или артерий нижних конечностей)</v>
          </cell>
        </row>
        <row r="43">
          <cell r="B43" t="str">
            <v>Ультразвуковая допплерография (УЗДГ) одного венозного бассейна (брахиоцефальных вен или вен верхних конечностей или вен нижних конечностей)</v>
          </cell>
        </row>
        <row r="44">
          <cell r="B44" t="str">
            <v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v>
          </cell>
        </row>
        <row r="45">
          <cell r="B45" t="str">
            <v>Транскраниальное дуплексное сканирование артерий или вен основания головного мозга</v>
          </cell>
        </row>
        <row r="46">
          <cell r="B46" t="str">
            <v>Дуплексное сканирование сосудов с цветным и энергетическим допплером органов брюшной полости и забрюшинного пространства</v>
          </cell>
        </row>
        <row r="47">
          <cell r="B47" t="str">
            <v>Дуплексное сканирование сосудов одного анатомического региона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массаж стол"/>
      <sheetName val="1 шея"/>
      <sheetName val="1р шея"/>
      <sheetName val="2 ворот. зона"/>
      <sheetName val="2р ворот. зона "/>
      <sheetName val="3 плечо"/>
      <sheetName val="3р плечо"/>
      <sheetName val="4 межлопатки"/>
      <sheetName val="4р межлопатки "/>
      <sheetName val="5 верх. кон."/>
      <sheetName val="5р верх. кон. "/>
      <sheetName val="6 груд. клетка"/>
      <sheetName val="6р груд. клетка "/>
      <sheetName val="7 спина"/>
      <sheetName val="7р спина "/>
      <sheetName val="8 живот"/>
      <sheetName val="8р живот"/>
      <sheetName val="9 обл. позвоночника"/>
      <sheetName val="9р обл. позвоночника"/>
      <sheetName val="10 гр. отдел"/>
      <sheetName val="10р гр. отдел"/>
      <sheetName val="11 поян-крест."/>
      <sheetName val="11р поян-крест. "/>
      <sheetName val="12 спин и пояс."/>
      <sheetName val="12р спин и пояс. "/>
      <sheetName val="13 таз. сустав"/>
      <sheetName val="13р таз. сустав "/>
      <sheetName val="14 ниж. конечность"/>
      <sheetName val="14р ниж. конечность "/>
      <sheetName val="Цена материалов"/>
      <sheetName val="Лист3"/>
    </sheetNames>
    <sheetDataSet>
      <sheetData sheetId="0" refreshError="1">
        <row r="2">
          <cell r="E2" t="str">
            <v xml:space="preserve">Зам.генерального директора </v>
          </cell>
        </row>
        <row r="16">
          <cell r="A16" t="str">
            <v xml:space="preserve"> 2.1</v>
          </cell>
          <cell r="B16" t="str">
            <v>Вакуумный массаж шеи</v>
          </cell>
          <cell r="C16" t="str">
            <v>процедура</v>
          </cell>
        </row>
        <row r="17">
          <cell r="A17" t="str">
            <v xml:space="preserve"> 2.2</v>
          </cell>
          <cell r="B17" t="str">
            <v>Вакуумный массаж воротниковой зоны</v>
          </cell>
        </row>
        <row r="18">
          <cell r="A18" t="str">
            <v xml:space="preserve"> 2.3</v>
          </cell>
          <cell r="B18" t="str">
            <v>Вакуумный массаж плечевого сустава</v>
          </cell>
        </row>
        <row r="19">
          <cell r="A19" t="str">
            <v xml:space="preserve"> 2.4</v>
          </cell>
          <cell r="B19" t="str">
            <v>Вакуумный массаж межлопаточной области</v>
          </cell>
        </row>
        <row r="20">
          <cell r="A20" t="str">
            <v xml:space="preserve"> 2.5</v>
          </cell>
          <cell r="B20" t="str">
            <v>Вакуумный массаж верхней конечности</v>
          </cell>
        </row>
        <row r="21">
          <cell r="A21" t="str">
            <v xml:space="preserve"> 2.6</v>
          </cell>
          <cell r="B21" t="str">
            <v>Вакуумный массаж области грудной клетки</v>
          </cell>
        </row>
        <row r="22">
          <cell r="A22" t="str">
            <v xml:space="preserve"> 2.7</v>
          </cell>
          <cell r="B22" t="str">
            <v>Вакуумный массаж спины</v>
          </cell>
        </row>
        <row r="23">
          <cell r="A23" t="str">
            <v xml:space="preserve"> 2.8</v>
          </cell>
          <cell r="B23" t="str">
            <v>Вакуумный массаж области живота</v>
          </cell>
        </row>
        <row r="24">
          <cell r="A24" t="str">
            <v xml:space="preserve"> 2.9</v>
          </cell>
          <cell r="B24" t="str">
            <v>Вакуумный массаж области позвоночника</v>
          </cell>
        </row>
        <row r="25">
          <cell r="B25" t="str">
            <v>Вакуумный массаж грудного отдела позвоночника</v>
          </cell>
        </row>
        <row r="26">
          <cell r="B26" t="str">
            <v>Вакуумный массаж пояснично-крестцовой области</v>
          </cell>
        </row>
        <row r="27">
          <cell r="B27" t="str">
            <v>Вакуумный массаж спины и поясницы</v>
          </cell>
        </row>
        <row r="28">
          <cell r="B28" t="str">
            <v>Вакуумный массаж тазобедренного сустава</v>
          </cell>
        </row>
        <row r="29">
          <cell r="B29" t="str">
            <v>Вакуумный массаж нижней конечности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сокращ."/>
      <sheetName val="Уровень цен"/>
      <sheetName val="Анализ стоим"/>
      <sheetName val="Тариф. ставки"/>
      <sheetName val="1 Первич прием"/>
      <sheetName val="1р"/>
      <sheetName val="2 Повтор. прием"/>
      <sheetName val="2р"/>
      <sheetName val="3 Забор мазка"/>
      <sheetName val="3р"/>
      <sheetName val="4 Кольпоцитология"/>
      <sheetName val="4р"/>
      <sheetName val="5 Кольпоскопия простая"/>
      <sheetName val="5р"/>
      <sheetName val="6 Кольпоскопия расшир"/>
      <sheetName val="6р"/>
      <sheetName val="7 Ванночка"/>
      <sheetName val="7 р"/>
      <sheetName val="8-1 Леч тампон лекарств"/>
      <sheetName val="8-1р"/>
      <sheetName val="8-2 Леч тампоны с сак гр"/>
      <sheetName val="8-2р"/>
      <sheetName val="9 Орошение влаг мин вод"/>
      <sheetName val="9р"/>
      <sheetName val="10 Массаж гинеколог"/>
      <sheetName val="10р"/>
      <sheetName val="11 Введение ВМС"/>
      <sheetName val="11р"/>
      <sheetName val="12 Удаление ВМС"/>
      <sheetName val="12р"/>
      <sheetName val="Сак грязь"/>
      <sheetName val="Цена на препараты"/>
      <sheetName val="Лист3"/>
    </sheetNames>
    <sheetDataSet>
      <sheetData sheetId="0"/>
      <sheetData sheetId="1"/>
      <sheetData sheetId="2"/>
      <sheetData sheetId="3"/>
      <sheetData sheetId="4"/>
      <sheetData sheetId="5">
        <row r="11">
          <cell r="A11" t="str">
            <v>Первичный прием врача-акушера-гинеколога</v>
          </cell>
        </row>
        <row r="27">
          <cell r="G27">
            <v>27.47</v>
          </cell>
        </row>
        <row r="32">
          <cell r="P32">
            <v>1.85</v>
          </cell>
        </row>
      </sheetData>
      <sheetData sheetId="6">
        <row r="27">
          <cell r="G27">
            <v>33.58</v>
          </cell>
        </row>
      </sheetData>
      <sheetData sheetId="7">
        <row r="11">
          <cell r="A11" t="str">
            <v>Повторный прием врача-акушера-гинеколога</v>
          </cell>
        </row>
        <row r="27">
          <cell r="G27">
            <v>16.72</v>
          </cell>
        </row>
        <row r="32">
          <cell r="P32">
            <v>1.85</v>
          </cell>
        </row>
      </sheetData>
      <sheetData sheetId="8">
        <row r="27">
          <cell r="G27">
            <v>23.2</v>
          </cell>
        </row>
      </sheetData>
      <sheetData sheetId="9">
        <row r="11">
          <cell r="A11" t="str">
            <v>Забор мазка на исследование</v>
          </cell>
        </row>
        <row r="27">
          <cell r="G27">
            <v>1.61</v>
          </cell>
        </row>
        <row r="32">
          <cell r="P32">
            <v>2.5</v>
          </cell>
        </row>
      </sheetData>
      <sheetData sheetId="10">
        <row r="27">
          <cell r="G27">
            <v>3.47</v>
          </cell>
        </row>
      </sheetData>
      <sheetData sheetId="11">
        <row r="11">
          <cell r="A11" t="str">
            <v>Кольпоцитология</v>
          </cell>
        </row>
        <row r="27">
          <cell r="G27">
            <v>1.61</v>
          </cell>
        </row>
        <row r="32">
          <cell r="P32">
            <v>2.5</v>
          </cell>
        </row>
      </sheetData>
      <sheetData sheetId="12">
        <row r="27">
          <cell r="G27">
            <v>3.47</v>
          </cell>
        </row>
      </sheetData>
      <sheetData sheetId="13">
        <row r="11">
          <cell r="A11" t="str">
            <v>Кольпоскопия простая</v>
          </cell>
        </row>
        <row r="27">
          <cell r="G27">
            <v>16.72</v>
          </cell>
        </row>
        <row r="32">
          <cell r="P32">
            <v>1.88</v>
          </cell>
        </row>
      </sheetData>
      <sheetData sheetId="14">
        <row r="27">
          <cell r="G27">
            <v>23.2</v>
          </cell>
        </row>
      </sheetData>
      <sheetData sheetId="15">
        <row r="11">
          <cell r="A11" t="str">
            <v>Кольпоскопия расширенная с цитологией</v>
          </cell>
        </row>
        <row r="27">
          <cell r="G27">
            <v>16.72</v>
          </cell>
        </row>
        <row r="32">
          <cell r="P32">
            <v>2.56</v>
          </cell>
        </row>
      </sheetData>
      <sheetData sheetId="16">
        <row r="27">
          <cell r="G27">
            <v>23.2</v>
          </cell>
        </row>
      </sheetData>
      <sheetData sheetId="17">
        <row r="11">
          <cell r="A11" t="str">
            <v xml:space="preserve">Лечебная процедура: 1 ванночка </v>
          </cell>
        </row>
        <row r="27">
          <cell r="G27">
            <v>3</v>
          </cell>
        </row>
        <row r="30">
          <cell r="L30" t="str">
            <v>Перекись водорода 3%</v>
          </cell>
          <cell r="P30">
            <v>1.95</v>
          </cell>
        </row>
        <row r="31">
          <cell r="L31" t="str">
            <v xml:space="preserve">Раствор хлоргексидина биглюконат </v>
          </cell>
          <cell r="P31">
            <v>2.5499999999999998</v>
          </cell>
        </row>
        <row r="32">
          <cell r="L32" t="str">
            <v>Раствор спиртовой хлорофиллипта 10 мг/мл</v>
          </cell>
          <cell r="P32">
            <v>1.65</v>
          </cell>
        </row>
        <row r="33">
          <cell r="L33" t="str">
            <v>Раствор мукосанина</v>
          </cell>
          <cell r="P33">
            <v>1.65</v>
          </cell>
        </row>
        <row r="34">
          <cell r="L34" t="str">
            <v>Раствор мирросепта</v>
          </cell>
          <cell r="P34">
            <v>1.75</v>
          </cell>
        </row>
      </sheetData>
      <sheetData sheetId="18">
        <row r="27">
          <cell r="G27">
            <v>4.97</v>
          </cell>
        </row>
      </sheetData>
      <sheetData sheetId="19">
        <row r="11">
          <cell r="A11" t="str">
            <v>Лечебная процедура: введение лечебных тампонов с лекарственными препаратами</v>
          </cell>
        </row>
        <row r="27">
          <cell r="G27">
            <v>3</v>
          </cell>
        </row>
        <row r="43">
          <cell r="L43" t="str">
            <v>Мазь Линимент Бальзамический (Вишневского)</v>
          </cell>
          <cell r="P43">
            <v>1.96</v>
          </cell>
        </row>
        <row r="44">
          <cell r="L44" t="str">
            <v>Мазь Эритромициновая 10000ЕД в 1г</v>
          </cell>
          <cell r="P44">
            <v>1.88</v>
          </cell>
        </row>
        <row r="45">
          <cell r="L45" t="str">
            <v>Мазь Тетрациклиновая 3%</v>
          </cell>
          <cell r="P45">
            <v>1.72</v>
          </cell>
        </row>
        <row r="46">
          <cell r="L46" t="str">
            <v>Мазь Клотримазол 1%</v>
          </cell>
          <cell r="P46">
            <v>2.52</v>
          </cell>
        </row>
        <row r="47">
          <cell r="L47" t="str">
            <v>Мазь Меколь-боримед</v>
          </cell>
          <cell r="P47">
            <v>2.2000000000000002</v>
          </cell>
        </row>
        <row r="48">
          <cell r="L48" t="str">
            <v>Раствор Димексида</v>
          </cell>
          <cell r="P48">
            <v>1.6</v>
          </cell>
        </row>
        <row r="49">
          <cell r="L49" t="str">
            <v>Масло Облепиховое</v>
          </cell>
          <cell r="P49">
            <v>1.65</v>
          </cell>
        </row>
        <row r="50">
          <cell r="L50" t="str">
            <v>Нистатин мазь</v>
          </cell>
          <cell r="P50">
            <v>1.88</v>
          </cell>
        </row>
        <row r="51">
          <cell r="L51" t="str">
            <v>Метронидазол гель</v>
          </cell>
          <cell r="P51">
            <v>2.36</v>
          </cell>
        </row>
        <row r="52">
          <cell r="L52" t="str">
            <v>Повидон - йод мазь</v>
          </cell>
          <cell r="P52">
            <v>3.24</v>
          </cell>
        </row>
        <row r="53">
          <cell r="L53" t="str">
            <v>Гидрокортизон мазь</v>
          </cell>
          <cell r="P53">
            <v>2.52</v>
          </cell>
        </row>
        <row r="54">
          <cell r="L54" t="str">
            <v>Декспантен мазь</v>
          </cell>
          <cell r="P54">
            <v>3.8</v>
          </cell>
        </row>
        <row r="55">
          <cell r="L55" t="str">
            <v>Синтомицин мазь</v>
          </cell>
          <cell r="P55">
            <v>2.36</v>
          </cell>
        </row>
        <row r="56">
          <cell r="L56" t="str">
            <v>Гентамицин мазь</v>
          </cell>
          <cell r="P56">
            <v>1.96</v>
          </cell>
        </row>
        <row r="57">
          <cell r="L57" t="str">
            <v xml:space="preserve">Масло персик </v>
          </cell>
          <cell r="P57">
            <v>2.35</v>
          </cell>
        </row>
        <row r="58">
          <cell r="L58" t="str">
            <v>Септомирин гель</v>
          </cell>
          <cell r="P58">
            <v>3.16</v>
          </cell>
        </row>
        <row r="59">
          <cell r="L59" t="str">
            <v xml:space="preserve">Хлорофиллипт масл. р-р 20 мг/мл </v>
          </cell>
          <cell r="P59">
            <v>2.0499999999999998</v>
          </cell>
        </row>
        <row r="60">
          <cell r="L60" t="str">
            <v>Грязь лечебная сапропелевая</v>
          </cell>
          <cell r="P60">
            <v>1.42</v>
          </cell>
        </row>
      </sheetData>
      <sheetData sheetId="20">
        <row r="27">
          <cell r="G27">
            <v>4.95</v>
          </cell>
        </row>
      </sheetData>
      <sheetData sheetId="21">
        <row r="11">
          <cell r="A11" t="str">
            <v>Лечебная процедура: введение лечебных тампонов с грязью Сакского озера</v>
          </cell>
        </row>
        <row r="26">
          <cell r="P26">
            <v>5.6</v>
          </cell>
        </row>
        <row r="27">
          <cell r="G27">
            <v>3</v>
          </cell>
        </row>
      </sheetData>
      <sheetData sheetId="22">
        <row r="27">
          <cell r="G27">
            <v>5.72</v>
          </cell>
        </row>
      </sheetData>
      <sheetData sheetId="23">
        <row r="11">
          <cell r="A11" t="str">
            <v>Лечебная процедура: орошение влагалища (минеральной водой)</v>
          </cell>
        </row>
        <row r="26">
          <cell r="P26">
            <v>1.62</v>
          </cell>
        </row>
        <row r="27">
          <cell r="G27">
            <v>3</v>
          </cell>
        </row>
      </sheetData>
      <sheetData sheetId="24">
        <row r="27">
          <cell r="G27">
            <v>4.96</v>
          </cell>
        </row>
      </sheetData>
      <sheetData sheetId="25">
        <row r="11">
          <cell r="A11" t="str">
            <v>Гинекологический массаж</v>
          </cell>
        </row>
        <row r="27">
          <cell r="G27">
            <v>10.42</v>
          </cell>
        </row>
        <row r="32">
          <cell r="P32">
            <v>1.17</v>
          </cell>
        </row>
      </sheetData>
      <sheetData sheetId="26">
        <row r="27">
          <cell r="G27">
            <v>17.86</v>
          </cell>
        </row>
      </sheetData>
      <sheetData sheetId="27">
        <row r="11">
          <cell r="A11" t="str">
            <v>Введение внутриматочного средства контрацепции</v>
          </cell>
        </row>
        <row r="27">
          <cell r="G27">
            <v>12.21</v>
          </cell>
        </row>
        <row r="28">
          <cell r="P28">
            <v>2.35</v>
          </cell>
        </row>
      </sheetData>
      <sheetData sheetId="28">
        <row r="27">
          <cell r="G27">
            <v>17.64</v>
          </cell>
        </row>
      </sheetData>
      <sheetData sheetId="29">
        <row r="11">
          <cell r="A11" t="str">
            <v>Удаление внутриматочного средства контрацепции</v>
          </cell>
        </row>
        <row r="27">
          <cell r="G27">
            <v>12.21</v>
          </cell>
          <cell r="P27">
            <v>1.41</v>
          </cell>
        </row>
      </sheetData>
      <sheetData sheetId="30">
        <row r="27">
          <cell r="G27">
            <v>17.64</v>
          </cell>
        </row>
      </sheetData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сокращ."/>
      <sheetName val="Уровень цен"/>
      <sheetName val="Анализ стоим"/>
      <sheetName val="Тариф. ставки"/>
      <sheetName val="1 Электрофорез"/>
      <sheetName val="37 Гальван.ванны"/>
      <sheetName val="37р"/>
      <sheetName val="39 душ-шарко"/>
      <sheetName val="39 рдуш-шарко"/>
      <sheetName val="40 галотерапия"/>
      <sheetName val="40р галотерапия "/>
      <sheetName val="2 Электросон"/>
      <sheetName val="1р"/>
      <sheetName val="2р"/>
      <sheetName val="3 Диадинамотерапия"/>
      <sheetName val="3р"/>
      <sheetName val="4 Амплипульстерапия"/>
      <sheetName val="4р"/>
      <sheetName val="5 Интерференцтерапия"/>
      <sheetName val="5р"/>
      <sheetName val="6 Электроаналгезия"/>
      <sheetName val="6р"/>
      <sheetName val="7 Дарсонваль"/>
      <sheetName val="7р"/>
      <sheetName val="8 Ультровысокочастотная терап"/>
      <sheetName val="8р"/>
      <sheetName val="9 Сантиметроволнов терап"/>
      <sheetName val="9р"/>
      <sheetName val="10 Магнитотерапия мест"/>
      <sheetName val="10р"/>
      <sheetName val="11 Магнитотерапия общ"/>
      <sheetName val="11р"/>
      <sheetName val="41 Индуктометрия"/>
      <sheetName val="41р Индуктометрия"/>
      <sheetName val="43 магнитостимуляция"/>
      <sheetName val="43р магнитостимуляция"/>
      <sheetName val="44 аудиостим."/>
      <sheetName val="44р аудиостим."/>
      <sheetName val="12 Ульттрафиолет"/>
      <sheetName val="12р"/>
      <sheetName val="13 Инфракрасное облуч"/>
      <sheetName val="13р"/>
      <sheetName val="14 Лазер"/>
      <sheetName val="14р"/>
      <sheetName val="15 Надвенный лазер"/>
      <sheetName val="15р"/>
      <sheetName val="35 Лазеротерапия пол."/>
      <sheetName val="35р"/>
      <sheetName val="16 Ультразвук"/>
      <sheetName val="16р"/>
      <sheetName val="17Тракционная терапг"/>
      <sheetName val="17р"/>
      <sheetName val="18р"/>
      <sheetName val="18 Массаж кушетка"/>
      <sheetName val="36 Лимфомат"/>
      <sheetName val="36р"/>
      <sheetName val="42 Бесконтактный гидромассаж"/>
      <sheetName val="42р Бесконтактный гидромасса"/>
      <sheetName val="19 Инголяции лек"/>
      <sheetName val="19.1 Инголяции лек "/>
      <sheetName val="19р"/>
      <sheetName val="19.1р"/>
      <sheetName val="20 Инголяц ультрна"/>
      <sheetName val="20р"/>
      <sheetName val="21 Галоинголя "/>
      <sheetName val="45 коктель"/>
      <sheetName val="45р коктель"/>
      <sheetName val="38 Аромафитотерапия"/>
      <sheetName val="38р"/>
      <sheetName val="21р"/>
      <sheetName val="22 Душ"/>
      <sheetName val="22р"/>
      <sheetName val="46 душ длждевой"/>
      <sheetName val="46р душ дождевой"/>
      <sheetName val="23 Подводный душ"/>
      <sheetName val="23р"/>
      <sheetName val="24 Ванны ароматич"/>
      <sheetName val="24р"/>
      <sheetName val="25 Ванны вихрев"/>
      <sheetName val="25р"/>
      <sheetName val="26 Ванны жем"/>
      <sheetName val="26р"/>
      <sheetName val="27 Ванны минерал"/>
      <sheetName val="27р"/>
      <sheetName val="28 Мин-жем ванны"/>
      <sheetName val="28р"/>
      <sheetName val="29 Лекрств ванны"/>
      <sheetName val="29 р"/>
      <sheetName val="43 Углекислые ванны"/>
      <sheetName val="43р Углекислые ванны"/>
      <sheetName val="30 Парафин аппликац"/>
      <sheetName val="30р"/>
      <sheetName val="31 Сапроп апплик 1 зона"/>
      <sheetName val="31р"/>
      <sheetName val="32р"/>
      <sheetName val="32 Внутриполос грязел"/>
      <sheetName val="47 грязь общая"/>
      <sheetName val="47ро грязь общая"/>
      <sheetName val="33 Электрогряз"/>
      <sheetName val="33р"/>
      <sheetName val="34 Сауна"/>
      <sheetName val="34р"/>
      <sheetName val="48 ванны гряз."/>
      <sheetName val="48р ванны гряз."/>
      <sheetName val="Сауна энергетик"/>
      <sheetName val="Время раб сауны"/>
      <sheetName val="Цена материалов"/>
      <sheetName val="1 Эмульсия скипид"/>
      <sheetName val="Норма врем скип"/>
      <sheetName val="Норма мат  скипидар"/>
      <sheetName val="Лист3"/>
    </sheetNames>
    <sheetDataSet>
      <sheetData sheetId="0"/>
      <sheetData sheetId="1"/>
      <sheetData sheetId="2">
        <row r="10">
          <cell r="D10">
            <v>4.49</v>
          </cell>
          <cell r="E10">
            <v>6.39</v>
          </cell>
        </row>
        <row r="12">
          <cell r="D12">
            <v>8.27</v>
          </cell>
          <cell r="E12">
            <v>11.53</v>
          </cell>
        </row>
        <row r="13">
          <cell r="E13">
            <v>8.67</v>
          </cell>
        </row>
        <row r="14">
          <cell r="D14">
            <v>5.91</v>
          </cell>
          <cell r="E14">
            <v>8.67</v>
          </cell>
        </row>
        <row r="15">
          <cell r="D15">
            <v>5.91</v>
          </cell>
          <cell r="E15">
            <v>8.67</v>
          </cell>
        </row>
        <row r="16">
          <cell r="D16">
            <v>5.91</v>
          </cell>
          <cell r="E16">
            <v>8.67</v>
          </cell>
        </row>
        <row r="17">
          <cell r="D17">
            <v>5.91</v>
          </cell>
          <cell r="E17">
            <v>8.6</v>
          </cell>
        </row>
        <row r="18">
          <cell r="D18">
            <v>2.98</v>
          </cell>
          <cell r="E18">
            <v>4.3</v>
          </cell>
        </row>
        <row r="19">
          <cell r="D19">
            <v>2.98</v>
          </cell>
          <cell r="E19">
            <v>4.3</v>
          </cell>
        </row>
        <row r="20">
          <cell r="D20">
            <v>2.99</v>
          </cell>
          <cell r="E20">
            <v>4.3</v>
          </cell>
        </row>
        <row r="21">
          <cell r="D21">
            <v>5.91</v>
          </cell>
          <cell r="E21">
            <v>8.67</v>
          </cell>
        </row>
        <row r="22">
          <cell r="D22">
            <v>5.08</v>
          </cell>
          <cell r="E22">
            <v>7.94</v>
          </cell>
        </row>
        <row r="23">
          <cell r="D23">
            <v>4.49</v>
          </cell>
          <cell r="E23">
            <v>5.89</v>
          </cell>
        </row>
        <row r="24">
          <cell r="D24">
            <v>7.51</v>
          </cell>
          <cell r="E24">
            <v>9.86</v>
          </cell>
        </row>
        <row r="26">
          <cell r="D26">
            <v>2.98</v>
          </cell>
          <cell r="E26">
            <v>4.3</v>
          </cell>
        </row>
        <row r="27">
          <cell r="D27">
            <v>2.98</v>
          </cell>
          <cell r="E27">
            <v>4.3</v>
          </cell>
        </row>
        <row r="28">
          <cell r="D28">
            <v>3.26</v>
          </cell>
          <cell r="E28">
            <v>6.15</v>
          </cell>
        </row>
        <row r="29">
          <cell r="D29">
            <v>6.21</v>
          </cell>
          <cell r="E29">
            <v>9.57</v>
          </cell>
        </row>
        <row r="30">
          <cell r="D30">
            <v>6.21</v>
          </cell>
          <cell r="E30">
            <v>9.57</v>
          </cell>
        </row>
        <row r="32">
          <cell r="D32">
            <v>5.91</v>
          </cell>
          <cell r="E32">
            <v>8.67</v>
          </cell>
        </row>
        <row r="33">
          <cell r="D33">
            <v>16.239999999999998</v>
          </cell>
          <cell r="E33">
            <v>25.63</v>
          </cell>
        </row>
        <row r="34">
          <cell r="D34">
            <v>7.37</v>
          </cell>
          <cell r="E34">
            <v>11.68</v>
          </cell>
        </row>
        <row r="35">
          <cell r="D35">
            <v>6.93</v>
          </cell>
          <cell r="E35">
            <v>9.9</v>
          </cell>
        </row>
        <row r="36">
          <cell r="D36">
            <v>6.35</v>
          </cell>
          <cell r="E36">
            <v>12.71</v>
          </cell>
        </row>
        <row r="38">
          <cell r="D38">
            <v>2.5299999999999998</v>
          </cell>
          <cell r="E38">
            <v>3.57</v>
          </cell>
        </row>
        <row r="39">
          <cell r="D39">
            <v>2.5299999999999998</v>
          </cell>
          <cell r="E39">
            <v>3.57</v>
          </cell>
        </row>
        <row r="40">
          <cell r="D40">
            <v>2.5299999999999998</v>
          </cell>
          <cell r="E40">
            <v>3.57</v>
          </cell>
        </row>
        <row r="45">
          <cell r="D45">
            <v>3.41</v>
          </cell>
          <cell r="E45">
            <v>4.43</v>
          </cell>
        </row>
        <row r="46">
          <cell r="D46">
            <v>3.26</v>
          </cell>
          <cell r="E46">
            <v>4.13</v>
          </cell>
        </row>
        <row r="47">
          <cell r="D47">
            <v>12.74</v>
          </cell>
          <cell r="E47">
            <v>17.77</v>
          </cell>
        </row>
        <row r="48">
          <cell r="D48">
            <v>3.41</v>
          </cell>
          <cell r="E48">
            <v>4.7699999999999996</v>
          </cell>
        </row>
        <row r="49">
          <cell r="D49">
            <v>5.0199999999999996</v>
          </cell>
          <cell r="E49">
            <v>6.75</v>
          </cell>
        </row>
        <row r="50">
          <cell r="D50">
            <v>5.0199999999999996</v>
          </cell>
          <cell r="E50">
            <v>6.75</v>
          </cell>
        </row>
        <row r="53">
          <cell r="D53">
            <v>5.03</v>
          </cell>
          <cell r="E53">
            <v>6.77</v>
          </cell>
        </row>
        <row r="54">
          <cell r="D54">
            <v>6.5</v>
          </cell>
          <cell r="E54">
            <v>9.07</v>
          </cell>
        </row>
        <row r="55">
          <cell r="D55">
            <v>6.5</v>
          </cell>
          <cell r="E55">
            <v>9.4</v>
          </cell>
        </row>
        <row r="58">
          <cell r="D58">
            <v>6.58</v>
          </cell>
          <cell r="E58">
            <v>9.0500000000000007</v>
          </cell>
        </row>
        <row r="60">
          <cell r="D60">
            <v>8.2799999999999994</v>
          </cell>
          <cell r="E60">
            <v>12.07</v>
          </cell>
        </row>
        <row r="63">
          <cell r="D63">
            <v>6.58</v>
          </cell>
          <cell r="E63">
            <v>9.0500000000000007</v>
          </cell>
        </row>
        <row r="64">
          <cell r="E64">
            <v>54.78</v>
          </cell>
        </row>
      </sheetData>
      <sheetData sheetId="3"/>
      <sheetData sheetId="4"/>
      <sheetData sheetId="5">
        <row r="13">
          <cell r="A13" t="str">
            <v>Электрофорез постоянным, импульсным токами</v>
          </cell>
        </row>
        <row r="24">
          <cell r="J24" t="str">
            <v>Йодистый калий 2%</v>
          </cell>
        </row>
        <row r="25">
          <cell r="J25" t="str">
            <v>Сульфат магния 2%</v>
          </cell>
        </row>
        <row r="26">
          <cell r="J26" t="str">
            <v>Натрия бромид 2%</v>
          </cell>
        </row>
        <row r="33">
          <cell r="P33">
            <v>0.27</v>
          </cell>
        </row>
        <row r="34">
          <cell r="P34">
            <v>0.2</v>
          </cell>
        </row>
        <row r="35">
          <cell r="P35">
            <v>0.28999999999999998</v>
          </cell>
        </row>
        <row r="36">
          <cell r="L36" t="str">
            <v>Раствор Димексида</v>
          </cell>
          <cell r="P36">
            <v>0.28000000000000003</v>
          </cell>
        </row>
      </sheetData>
      <sheetData sheetId="6">
        <row r="13">
          <cell r="A13" t="str">
            <v>Гидрогальванические камерные ванны</v>
          </cell>
        </row>
        <row r="21">
          <cell r="P21">
            <v>3.61</v>
          </cell>
        </row>
        <row r="25">
          <cell r="J25" t="str">
            <v>Сульфат магния 2%</v>
          </cell>
        </row>
        <row r="29">
          <cell r="G29">
            <v>6.58</v>
          </cell>
        </row>
      </sheetData>
      <sheetData sheetId="7">
        <row r="29">
          <cell r="G29">
            <v>8.5500000000000007</v>
          </cell>
        </row>
      </sheetData>
      <sheetData sheetId="8">
        <row r="12">
          <cell r="A12" t="str">
            <v>Душ струевой, контрастный</v>
          </cell>
        </row>
        <row r="27">
          <cell r="G27">
            <v>6.69</v>
          </cell>
        </row>
        <row r="28">
          <cell r="O28">
            <v>1.1000000000000001</v>
          </cell>
        </row>
      </sheetData>
      <sheetData sheetId="9">
        <row r="27">
          <cell r="G27">
            <v>8.81</v>
          </cell>
        </row>
      </sheetData>
      <sheetData sheetId="10">
        <row r="11">
          <cell r="A11" t="str">
            <v>Галотерапия, камерная спелеотерапия (до 6 человек)</v>
          </cell>
        </row>
        <row r="27">
          <cell r="O27">
            <v>2.37</v>
          </cell>
        </row>
        <row r="29">
          <cell r="G29">
            <v>3.64</v>
          </cell>
        </row>
      </sheetData>
      <sheetData sheetId="11">
        <row r="29">
          <cell r="G29">
            <v>4.43</v>
          </cell>
        </row>
      </sheetData>
      <sheetData sheetId="12">
        <row r="13">
          <cell r="A13" t="str">
            <v>Электросон</v>
          </cell>
        </row>
        <row r="30">
          <cell r="P30">
            <v>0.09</v>
          </cell>
        </row>
      </sheetData>
      <sheetData sheetId="13"/>
      <sheetData sheetId="14"/>
      <sheetData sheetId="15">
        <row r="13">
          <cell r="A13" t="str">
            <v xml:space="preserve">Диадинамотерапия  </v>
          </cell>
        </row>
        <row r="30">
          <cell r="P30">
            <v>0.09</v>
          </cell>
        </row>
      </sheetData>
      <sheetData sheetId="16"/>
      <sheetData sheetId="17">
        <row r="13">
          <cell r="A13" t="str">
            <v xml:space="preserve">Амплипульстерапия  </v>
          </cell>
        </row>
        <row r="30">
          <cell r="P30">
            <v>0.09</v>
          </cell>
        </row>
      </sheetData>
      <sheetData sheetId="18"/>
      <sheetData sheetId="19">
        <row r="13">
          <cell r="A13" t="str">
            <v xml:space="preserve">Интерференцтерапия  </v>
          </cell>
        </row>
        <row r="30">
          <cell r="P30">
            <v>0.09</v>
          </cell>
        </row>
      </sheetData>
      <sheetData sheetId="20"/>
      <sheetData sheetId="21">
        <row r="13">
          <cell r="A13" t="str">
            <v xml:space="preserve">Короткоимпульсная электроаналгезия </v>
          </cell>
        </row>
        <row r="30">
          <cell r="P30">
            <v>0.09</v>
          </cell>
        </row>
      </sheetData>
      <sheetData sheetId="22"/>
      <sheetData sheetId="23">
        <row r="13">
          <cell r="A13" t="str">
            <v xml:space="preserve">Дарсонвализация местная </v>
          </cell>
        </row>
        <row r="30">
          <cell r="P30">
            <v>0.12</v>
          </cell>
        </row>
      </sheetData>
      <sheetData sheetId="24"/>
      <sheetData sheetId="25">
        <row r="13">
          <cell r="A13" t="str">
            <v xml:space="preserve">Ультравысокочастотная терапия </v>
          </cell>
        </row>
        <row r="30">
          <cell r="P30">
            <v>0.09</v>
          </cell>
        </row>
      </sheetData>
      <sheetData sheetId="26"/>
      <sheetData sheetId="27">
        <row r="13">
          <cell r="A13" t="str">
            <v xml:space="preserve">Сантиметроволновая терапия </v>
          </cell>
        </row>
        <row r="30">
          <cell r="P30">
            <v>0.09</v>
          </cell>
        </row>
      </sheetData>
      <sheetData sheetId="28"/>
      <sheetData sheetId="29">
        <row r="13">
          <cell r="A13" t="str">
            <v xml:space="preserve">Магнитотерапия местная  </v>
          </cell>
        </row>
        <row r="30">
          <cell r="P30">
            <v>0.09</v>
          </cell>
        </row>
      </sheetData>
      <sheetData sheetId="30"/>
      <sheetData sheetId="31">
        <row r="13">
          <cell r="A13" t="str">
            <v>Магнитотерапия общая</v>
          </cell>
        </row>
        <row r="30">
          <cell r="P30">
            <v>0.09</v>
          </cell>
        </row>
      </sheetData>
      <sheetData sheetId="32"/>
      <sheetData sheetId="33">
        <row r="13">
          <cell r="A13" t="str">
            <v>Индуктотермия</v>
          </cell>
        </row>
        <row r="30">
          <cell r="P30">
            <v>7.0000000000000007E-2</v>
          </cell>
        </row>
      </sheetData>
      <sheetData sheetId="34"/>
      <sheetData sheetId="35">
        <row r="29">
          <cell r="P29">
            <v>0.08</v>
          </cell>
        </row>
      </sheetData>
      <sheetData sheetId="36"/>
      <sheetData sheetId="37">
        <row r="29">
          <cell r="P29">
            <v>0.09</v>
          </cell>
        </row>
      </sheetData>
      <sheetData sheetId="38"/>
      <sheetData sheetId="39">
        <row r="13">
          <cell r="A13" t="str">
            <v xml:space="preserve">Ультрафиолетовое облучение местное  </v>
          </cell>
        </row>
        <row r="30">
          <cell r="P30">
            <v>0.09</v>
          </cell>
        </row>
      </sheetData>
      <sheetData sheetId="40"/>
      <sheetData sheetId="41">
        <row r="13">
          <cell r="A13" t="str">
            <v xml:space="preserve">Видимое инфракрасное облучение местное </v>
          </cell>
        </row>
        <row r="30">
          <cell r="P30">
            <v>0.09</v>
          </cell>
        </row>
      </sheetData>
      <sheetData sheetId="42"/>
      <sheetData sheetId="43">
        <row r="13">
          <cell r="A13" t="str">
            <v>Лазеротерапия, магнитолазеротерапия чрескожная</v>
          </cell>
        </row>
        <row r="30">
          <cell r="P30">
            <v>0.09</v>
          </cell>
        </row>
      </sheetData>
      <sheetData sheetId="44"/>
      <sheetData sheetId="45">
        <row r="12">
          <cell r="A12" t="str">
            <v>Надвенное лазерное облучение, магнитолазерное облучение</v>
          </cell>
        </row>
        <row r="29">
          <cell r="P29">
            <v>0.09</v>
          </cell>
        </row>
      </sheetData>
      <sheetData sheetId="46"/>
      <sheetData sheetId="47">
        <row r="12">
          <cell r="A12" t="str">
            <v>Лазеротерапия полостная</v>
          </cell>
        </row>
        <row r="29">
          <cell r="P29">
            <v>0.56000000000000005</v>
          </cell>
        </row>
      </sheetData>
      <sheetData sheetId="48"/>
      <sheetData sheetId="49">
        <row r="13">
          <cell r="A13" t="str">
            <v>Ультразвуковая терапия</v>
          </cell>
        </row>
        <row r="24">
          <cell r="J24" t="str">
            <v>Диклофенак гель 5%</v>
          </cell>
        </row>
        <row r="25">
          <cell r="J25" t="str">
            <v>Гидрокортизон мазь  1%</v>
          </cell>
        </row>
        <row r="33">
          <cell r="P33">
            <v>0.6</v>
          </cell>
        </row>
        <row r="34">
          <cell r="P34">
            <v>0.63</v>
          </cell>
        </row>
      </sheetData>
      <sheetData sheetId="50"/>
      <sheetData sheetId="51">
        <row r="13">
          <cell r="A13" t="str">
            <v xml:space="preserve">Аппаратная тракционная терапия    </v>
          </cell>
        </row>
        <row r="30">
          <cell r="P30">
            <v>0</v>
          </cell>
        </row>
      </sheetData>
      <sheetData sheetId="52"/>
      <sheetData sheetId="53"/>
      <sheetData sheetId="54">
        <row r="12">
          <cell r="A12" t="str">
            <v xml:space="preserve">Механический  аппаратный массаж на массажной кушетке,  массажном кресле с локальной  термотерапией         </v>
          </cell>
        </row>
        <row r="29">
          <cell r="P29">
            <v>0.09</v>
          </cell>
        </row>
      </sheetData>
      <sheetData sheetId="55">
        <row r="13">
          <cell r="A13" t="str">
            <v>Пневмокомпрессионная терапия</v>
          </cell>
        </row>
      </sheetData>
      <sheetData sheetId="56">
        <row r="30">
          <cell r="P30">
            <v>0.08</v>
          </cell>
        </row>
      </sheetData>
      <sheetData sheetId="57">
        <row r="13">
          <cell r="A13" t="str">
            <v>Бесконтактный гидромассаж</v>
          </cell>
        </row>
        <row r="27">
          <cell r="P27">
            <v>0</v>
          </cell>
        </row>
      </sheetData>
      <sheetData sheetId="58"/>
      <sheetData sheetId="59">
        <row r="13">
          <cell r="A13" t="str">
            <v>Ингаляции лекарственные</v>
          </cell>
        </row>
        <row r="24">
          <cell r="J24" t="str">
            <v>Содосолевой раствор</v>
          </cell>
        </row>
        <row r="30">
          <cell r="P30">
            <v>0.1</v>
          </cell>
        </row>
      </sheetData>
      <sheetData sheetId="60">
        <row r="24">
          <cell r="J24" t="str">
            <v xml:space="preserve">Эвкалипта настойка </v>
          </cell>
        </row>
        <row r="30">
          <cell r="P30">
            <v>0.02</v>
          </cell>
        </row>
      </sheetData>
      <sheetData sheetId="61"/>
      <sheetData sheetId="62"/>
      <sheetData sheetId="63">
        <row r="14">
          <cell r="A14" t="str">
            <v xml:space="preserve">Ингаляции  ультразвуковые          </v>
          </cell>
        </row>
        <row r="31">
          <cell r="P31">
            <v>1</v>
          </cell>
        </row>
      </sheetData>
      <sheetData sheetId="64"/>
      <sheetData sheetId="65">
        <row r="13">
          <cell r="A13" t="str">
            <v xml:space="preserve">Галоингаляция     </v>
          </cell>
        </row>
        <row r="30">
          <cell r="P30">
            <v>0</v>
          </cell>
        </row>
      </sheetData>
      <sheetData sheetId="66">
        <row r="29">
          <cell r="G29">
            <v>1.38</v>
          </cell>
          <cell r="K29" t="str">
            <v>Пенообразователь "Окси"</v>
          </cell>
          <cell r="P29">
            <v>0.82</v>
          </cell>
        </row>
        <row r="30">
          <cell r="K30" t="str">
            <v>Сироп корня солодки</v>
          </cell>
          <cell r="P30">
            <v>0.67</v>
          </cell>
        </row>
      </sheetData>
      <sheetData sheetId="67">
        <row r="29">
          <cell r="G29">
            <v>1.75</v>
          </cell>
        </row>
      </sheetData>
      <sheetData sheetId="68">
        <row r="13">
          <cell r="A13" t="str">
            <v>Аромафитотерапия, аэрофитотерапия (до 7 человек)</v>
          </cell>
        </row>
        <row r="30">
          <cell r="G30">
            <v>1.3</v>
          </cell>
          <cell r="L30" t="str">
            <v xml:space="preserve"> АФРОДИЗИАК аромакомпозиция масел</v>
          </cell>
          <cell r="P30">
            <v>0.23</v>
          </cell>
        </row>
        <row r="31">
          <cell r="L31" t="str">
            <v>НОРМАЛИЗАЦИЯ ВЕСА, АРОМАТ ЛЮБВИ аромакомпозиция масел</v>
          </cell>
          <cell r="P31">
            <v>0.17</v>
          </cell>
        </row>
        <row r="32">
          <cell r="L32" t="str">
            <v>АНТИСТРЕСС аромакомпозиция масел</v>
          </cell>
          <cell r="P32">
            <v>0.19</v>
          </cell>
        </row>
        <row r="33">
          <cell r="L33" t="str">
            <v xml:space="preserve">ХВОЙНЫЙ ЛЕС аромакомпозиция масел эфирных натуральных </v>
          </cell>
          <cell r="P33">
            <v>0.17</v>
          </cell>
        </row>
        <row r="34">
          <cell r="L34" t="str">
            <v>ДЫХАНИЕ+аромакомпозиция масел эфирных натуральных</v>
          </cell>
          <cell r="P34">
            <v>0.21</v>
          </cell>
        </row>
      </sheetData>
      <sheetData sheetId="69">
        <row r="30">
          <cell r="G30">
            <v>1.65</v>
          </cell>
        </row>
      </sheetData>
      <sheetData sheetId="70"/>
      <sheetData sheetId="71">
        <row r="13">
          <cell r="A13" t="str">
            <v>Душ (циркулярный, восходящий, горизонтальный)</v>
          </cell>
        </row>
        <row r="30">
          <cell r="P30">
            <v>1.1000000000000001</v>
          </cell>
        </row>
      </sheetData>
      <sheetData sheetId="72"/>
      <sheetData sheetId="73">
        <row r="29">
          <cell r="P29">
            <v>1.08</v>
          </cell>
        </row>
      </sheetData>
      <sheetData sheetId="74"/>
      <sheetData sheetId="75">
        <row r="13">
          <cell r="A13" t="str">
            <v>Подводный душ-массаж</v>
          </cell>
        </row>
        <row r="30">
          <cell r="P30">
            <v>1.23</v>
          </cell>
        </row>
      </sheetData>
      <sheetData sheetId="76"/>
      <sheetData sheetId="77">
        <row r="13">
          <cell r="A13" t="str">
            <v>Ванны пресные, ароматические</v>
          </cell>
        </row>
        <row r="25">
          <cell r="J25" t="str">
            <v>Экстракт "Хвойный"</v>
          </cell>
        </row>
        <row r="50">
          <cell r="P50">
            <v>1.45</v>
          </cell>
        </row>
        <row r="51">
          <cell r="P51">
            <v>1.1200000000000001</v>
          </cell>
        </row>
        <row r="52">
          <cell r="L52" t="str">
            <v>Масло эфирное натуральное Бергамот, Розмарин, Грейпфрут, БАННЫЙ ДЕНЬ, Лаванда</v>
          </cell>
          <cell r="P52">
            <v>1.19</v>
          </cell>
        </row>
        <row r="53">
          <cell r="L53" t="str">
            <v>Масло эфирное натуральное Герань</v>
          </cell>
          <cell r="P53">
            <v>1.21</v>
          </cell>
        </row>
        <row r="54">
          <cell r="L54" t="str">
            <v xml:space="preserve">Масло эфирное натуральное Иланг-иланг </v>
          </cell>
          <cell r="P54">
            <v>1.19</v>
          </cell>
        </row>
        <row r="55">
          <cell r="L55" t="str">
            <v xml:space="preserve">Масло эфирное натуральное  Мандарин, Пихта </v>
          </cell>
          <cell r="P55">
            <v>1.1100000000000001</v>
          </cell>
        </row>
        <row r="56">
          <cell r="L56" t="str">
            <v>Масло эфирное натуральное Апельсин, Сосна</v>
          </cell>
          <cell r="P56">
            <v>1.07</v>
          </cell>
        </row>
        <row r="57">
          <cell r="L57" t="str">
            <v xml:space="preserve">Масло эфирное натуральное Каяпут </v>
          </cell>
          <cell r="P57">
            <v>1.03</v>
          </cell>
        </row>
        <row r="58">
          <cell r="L58" t="str">
            <v xml:space="preserve">Масло эфирное натуральное Кипарис </v>
          </cell>
          <cell r="P58">
            <v>1.1200000000000001</v>
          </cell>
        </row>
        <row r="59">
          <cell r="L59" t="str">
            <v>Масло эфирное натуральное Ладан</v>
          </cell>
          <cell r="P59">
            <v>1.8</v>
          </cell>
        </row>
        <row r="60">
          <cell r="L60" t="str">
            <v>Масло эфирное натуральное Можжевельник</v>
          </cell>
          <cell r="P60">
            <v>1.06</v>
          </cell>
        </row>
        <row r="61">
          <cell r="L61" t="str">
            <v>Масло эфирное натуральное Мускатный шалфей</v>
          </cell>
          <cell r="P61">
            <v>1.45</v>
          </cell>
        </row>
        <row r="62">
          <cell r="L62" t="str">
            <v>Масло эфирное натуральное МЯТА ПЕРЕЧНАЯ</v>
          </cell>
          <cell r="P62">
            <v>1.1599999999999999</v>
          </cell>
        </row>
        <row r="63">
          <cell r="L63" t="str">
            <v xml:space="preserve">Масло эфирное натуральное Пальмароза </v>
          </cell>
          <cell r="P63">
            <v>1.56</v>
          </cell>
        </row>
        <row r="64">
          <cell r="L64" t="str">
            <v>Масло эфирное натуральное Эвкалипт</v>
          </cell>
          <cell r="P64">
            <v>1.1499999999999999</v>
          </cell>
        </row>
        <row r="65">
          <cell r="L65" t="str">
            <v>Масло эфирное натуральное Лемонграсс, Лимон</v>
          </cell>
          <cell r="P65">
            <v>1.1200000000000001</v>
          </cell>
        </row>
        <row r="66">
          <cell r="L66" t="str">
            <v>Масло эфирное натуральное Жасмин</v>
          </cell>
          <cell r="P66">
            <v>1.45</v>
          </cell>
        </row>
        <row r="67">
          <cell r="L67" t="str">
            <v>Масло эфирное натуральное Фенхель</v>
          </cell>
          <cell r="P67">
            <v>1.34</v>
          </cell>
        </row>
        <row r="68">
          <cell r="L68" t="str">
            <v>Масло эфирное натуральное Чайное дерево</v>
          </cell>
          <cell r="P68">
            <v>1.21</v>
          </cell>
        </row>
        <row r="69">
          <cell r="L69" t="str">
            <v>Масло эфирное натуральное Петит грейн</v>
          </cell>
          <cell r="P69">
            <v>1.34</v>
          </cell>
        </row>
        <row r="70">
          <cell r="L70" t="str">
            <v>Масло эфирное натуральное Ель</v>
          </cell>
          <cell r="P70">
            <v>1.22</v>
          </cell>
        </row>
        <row r="71">
          <cell r="L71" t="str">
            <v>Масло эфирное натуральное Мелисса</v>
          </cell>
          <cell r="P71">
            <v>1.24</v>
          </cell>
        </row>
        <row r="72">
          <cell r="L72" t="str">
            <v>Масло эфирное натуральное Пачули</v>
          </cell>
          <cell r="P72">
            <v>1.42</v>
          </cell>
        </row>
      </sheetData>
      <sheetData sheetId="78"/>
      <sheetData sheetId="79">
        <row r="13">
          <cell r="A13" t="str">
            <v>Ванны выхревые, вибрационные</v>
          </cell>
        </row>
        <row r="30">
          <cell r="P30">
            <v>0.78</v>
          </cell>
        </row>
      </sheetData>
      <sheetData sheetId="80"/>
      <sheetData sheetId="81">
        <row r="13">
          <cell r="A13" t="str">
            <v xml:space="preserve">Ванны жемчужные       </v>
          </cell>
        </row>
        <row r="30">
          <cell r="P30">
            <v>0.78</v>
          </cell>
        </row>
      </sheetData>
      <sheetData sheetId="82"/>
      <sheetData sheetId="83">
        <row r="13">
          <cell r="A13" t="str">
            <v xml:space="preserve">Ванны минеральные   (хлоридные, натриевые, йодобромные, бишофитные и другие минералы)    </v>
          </cell>
        </row>
        <row r="30">
          <cell r="P30">
            <v>2.1</v>
          </cell>
        </row>
      </sheetData>
      <sheetData sheetId="84"/>
      <sheetData sheetId="85">
        <row r="13">
          <cell r="A13" t="str">
            <v xml:space="preserve">Минерально-жемчужные  ванны      </v>
          </cell>
        </row>
        <row r="30">
          <cell r="P30">
            <v>2.1</v>
          </cell>
        </row>
      </sheetData>
      <sheetData sheetId="86"/>
      <sheetData sheetId="87">
        <row r="13">
          <cell r="A13" t="str">
            <v xml:space="preserve">Лекарственные ванны,  смешанные ванны  </v>
          </cell>
        </row>
        <row r="25">
          <cell r="J25" t="str">
            <v>"Скипофит" "Желтый" скипидарный раствор</v>
          </cell>
        </row>
        <row r="26">
          <cell r="J26" t="str">
            <v>Экстракт грязей лечебных сапропелевых</v>
          </cell>
        </row>
        <row r="28">
          <cell r="J28" t="str">
            <v>Соль морская с эфирным маслом "Иланг-иланг" и натуральным растительным экстрактом "Алоэ"</v>
          </cell>
        </row>
        <row r="29">
          <cell r="J29" t="str">
            <v>Соль морская сероводородная</v>
          </cell>
        </row>
        <row r="30">
          <cell r="J30" t="str">
            <v>Соль морская:сухое молоко, экстракт меда и эфирное масло корицы "Рецепт Клеопатры"</v>
          </cell>
        </row>
        <row r="31">
          <cell r="J31" t="str">
            <v>Соль морская: горький шоколад</v>
          </cell>
        </row>
        <row r="32">
          <cell r="J32" t="str">
            <v>Соль морская: молочный шоколад</v>
          </cell>
        </row>
        <row r="33">
          <cell r="J33" t="str">
            <v>Соль древнего моря "Бишофит" с ионами серебра</v>
          </cell>
        </row>
        <row r="34">
          <cell r="J34" t="str">
            <v>Соль морская д/в ЙОДО-БРОМНАЯ</v>
          </cell>
        </row>
        <row r="38">
          <cell r="J38" t="str">
            <v>Соль морская для ванн с эфирным маслом МОЖЖЕВЕЛЬНИКА и пеной</v>
          </cell>
        </row>
        <row r="39">
          <cell r="J39" t="str">
            <v xml:space="preserve">Комплекс для принятия ванн и растираний "Нафталанская нефть" </v>
          </cell>
        </row>
        <row r="40">
          <cell r="J40" t="str">
            <v>Соль  древнего моря (бишофит) НАТУРАЛЬНАЯ для ванн (сухая)</v>
          </cell>
        </row>
        <row r="41">
          <cell r="J41" t="str">
            <v>Жидкий концентрат для ванн "КОНСКИЙ КАШТАН"</v>
          </cell>
        </row>
        <row r="42">
          <cell r="J42" t="str">
            <v>Жидкий концентрат для ванн "РОЗМАРИН"</v>
          </cell>
        </row>
        <row r="44">
          <cell r="J44" t="str">
            <v>Соль морская д/ванн с растительным экстрактом ЭХИНАЦЕИ ПУРПУРНОЙ</v>
          </cell>
        </row>
        <row r="45">
          <cell r="J45" t="str">
            <v>Соль морская д/ванн с эфирным маслом ЛАВАНДЫ и растительным экстрактом ФИАЛКИ</v>
          </cell>
        </row>
        <row r="46">
          <cell r="J46" t="str">
            <v>Раствор д/приготовления ванн с экстрактом пант д/женщин</v>
          </cell>
        </row>
        <row r="47">
          <cell r="J47" t="str">
            <v>Раствор д/приготовления ванн с экстрактом пант д/мужчин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2.4900000000000002</v>
          </cell>
        </row>
        <row r="63">
          <cell r="P63">
            <v>2.92</v>
          </cell>
        </row>
        <row r="64">
          <cell r="P64">
            <v>3.09</v>
          </cell>
        </row>
        <row r="65">
          <cell r="P65">
            <v>4.0599999999999996</v>
          </cell>
        </row>
        <row r="66">
          <cell r="P66">
            <v>3.92</v>
          </cell>
        </row>
        <row r="67">
          <cell r="P67">
            <v>4.6100000000000003</v>
          </cell>
        </row>
        <row r="68">
          <cell r="P68">
            <v>2.6</v>
          </cell>
        </row>
        <row r="72">
          <cell r="P72">
            <v>1.92</v>
          </cell>
        </row>
        <row r="73">
          <cell r="P73">
            <v>7.16</v>
          </cell>
        </row>
        <row r="74">
          <cell r="P74">
            <v>3.47</v>
          </cell>
        </row>
        <row r="75">
          <cell r="P75">
            <v>1.74</v>
          </cell>
        </row>
        <row r="76">
          <cell r="P76">
            <v>1.74</v>
          </cell>
        </row>
        <row r="77">
          <cell r="L77" t="str">
            <v>Соль морская д/в с растительным экстрактом МОЖЖЕВЕЛЬНИКА</v>
          </cell>
          <cell r="P77">
            <v>2.27</v>
          </cell>
        </row>
        <row r="78">
          <cell r="P78">
            <v>2.56</v>
          </cell>
        </row>
        <row r="79">
          <cell r="P79">
            <v>2.4900000000000002</v>
          </cell>
        </row>
        <row r="80">
          <cell r="P80">
            <v>10.66</v>
          </cell>
        </row>
        <row r="81">
          <cell r="P81">
            <v>10.66</v>
          </cell>
        </row>
        <row r="82">
          <cell r="L82" t="str">
    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    </cell>
          <cell r="P82">
            <v>3.32</v>
          </cell>
        </row>
        <row r="83">
          <cell r="L83" t="str">
            <v xml:space="preserve">"Скипофит" "Живица" мультиактивный экстракт на основе "Скипофит" "Белая" скипидарная эмульсия для ванн с экстрактом целебных трав </v>
          </cell>
          <cell r="P83">
            <v>3.32</v>
          </cell>
        </row>
        <row r="84">
          <cell r="L84" t="str">
            <v>"Скипофит" "Желтый" скипидарный раствор для ванн с экстрактом целебных трав</v>
          </cell>
          <cell r="P84">
            <v>4.3</v>
          </cell>
        </row>
        <row r="85">
          <cell r="L85" t="str">
            <v>"Скипофит" "Белая" скипидарная эмульсия для ванн с экстрактом целебных трав</v>
          </cell>
          <cell r="P85">
            <v>2.89</v>
          </cell>
        </row>
        <row r="86">
          <cell r="L86" t="str">
            <v xml:space="preserve">"Скипофит""Движение" на основе "Скипофит" "Белая" скипидарная эмульсия для ванн с экстрактом целебных трав </v>
          </cell>
          <cell r="P86">
            <v>3.34</v>
          </cell>
        </row>
        <row r="87">
          <cell r="L87" t="str">
            <v xml:space="preserve">"Скипофит"" Женский"  на основе "Скипофит" "Белая" скипидарная эмульсия для ванн с экстрактом целебных трав </v>
          </cell>
          <cell r="P87">
            <v>3.32</v>
          </cell>
        </row>
        <row r="88">
          <cell r="L88" t="str">
            <v xml:space="preserve">"Скипофит"" Мужской" на основе "Скипофит" "Белая" скипидарная эмульсия для ванн с экстрактом целебных трав </v>
          </cell>
          <cell r="P88">
            <v>3.32</v>
          </cell>
        </row>
        <row r="89">
          <cell r="L89" t="str">
            <v>Раствор для принятия ванн "Дегтярные ванны"</v>
          </cell>
          <cell r="P89">
            <v>7.94</v>
          </cell>
        </row>
        <row r="90">
          <cell r="L90" t="str">
            <v>Состав ароматический для ванн "Концентрат ЛАВАНДА"</v>
          </cell>
          <cell r="P90">
            <v>2.14</v>
          </cell>
        </row>
        <row r="91">
          <cell r="L91" t="str">
            <v>Состав ароматический для ванн "Концентрат МЕЛИССА"</v>
          </cell>
          <cell r="P91">
            <v>2.14</v>
          </cell>
        </row>
      </sheetData>
      <sheetData sheetId="88"/>
      <sheetData sheetId="89">
        <row r="13">
          <cell r="A13" t="str">
            <v>Суховоздушные радоновые или углекислые ванны</v>
          </cell>
        </row>
        <row r="28">
          <cell r="P28">
            <v>0.89</v>
          </cell>
        </row>
        <row r="29">
          <cell r="G29">
            <v>7.16</v>
          </cell>
        </row>
      </sheetData>
      <sheetData sheetId="90">
        <row r="29">
          <cell r="G29">
            <v>11.13</v>
          </cell>
        </row>
      </sheetData>
      <sheetData sheetId="91">
        <row r="13">
          <cell r="A13" t="str">
            <v xml:space="preserve">Парафиновые,  озокеритовые  аппликации  </v>
          </cell>
        </row>
        <row r="31">
          <cell r="P31">
            <v>0.14000000000000001</v>
          </cell>
        </row>
      </sheetData>
      <sheetData sheetId="92"/>
      <sheetData sheetId="93">
        <row r="13">
          <cell r="A13" t="str">
            <v xml:space="preserve">Аппликация    сапропелевой грязи  местная (1 зона) </v>
          </cell>
        </row>
        <row r="31">
          <cell r="P31">
            <v>0.18</v>
          </cell>
        </row>
      </sheetData>
      <sheetData sheetId="94"/>
      <sheetData sheetId="95"/>
      <sheetData sheetId="96">
        <row r="12">
          <cell r="A12" t="str">
            <v xml:space="preserve">Грязелечение  внутриполостное  </v>
          </cell>
        </row>
      </sheetData>
      <sheetData sheetId="97">
        <row r="29">
          <cell r="G29">
            <v>8.02</v>
          </cell>
          <cell r="P29">
            <v>24</v>
          </cell>
        </row>
      </sheetData>
      <sheetData sheetId="98">
        <row r="29">
          <cell r="G29">
            <v>10.16</v>
          </cell>
        </row>
      </sheetData>
      <sheetData sheetId="99">
        <row r="13">
          <cell r="A13" t="str">
            <v xml:space="preserve">Электрогрязевая  процедура с  применением  постоянного или   импульсного токов </v>
          </cell>
        </row>
        <row r="31">
          <cell r="P31">
            <v>7.7</v>
          </cell>
        </row>
      </sheetData>
      <sheetData sheetId="100"/>
      <sheetData sheetId="101">
        <row r="12">
          <cell r="A12" t="str">
            <v>Сауна (до 5 человек)   на 1,5 час</v>
          </cell>
        </row>
        <row r="23">
          <cell r="P23">
            <v>0</v>
          </cell>
        </row>
        <row r="29">
          <cell r="G29">
            <v>30.43</v>
          </cell>
        </row>
        <row r="30">
          <cell r="G30">
            <v>6.09</v>
          </cell>
        </row>
      </sheetData>
      <sheetData sheetId="102">
        <row r="29">
          <cell r="G29">
            <v>10.96</v>
          </cell>
        </row>
      </sheetData>
      <sheetData sheetId="103">
        <row r="29">
          <cell r="G29">
            <v>8.2100000000000009</v>
          </cell>
          <cell r="P29">
            <v>24.87</v>
          </cell>
        </row>
      </sheetData>
      <sheetData sheetId="104">
        <row r="29">
          <cell r="G29">
            <v>10.39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"/>
      <sheetName val="анализ"/>
      <sheetName val="тар.ставка"/>
      <sheetName val="1 магнитостимуляция"/>
      <sheetName val="1р магнитостимуляция"/>
      <sheetName val="2 аудиовизуальная "/>
      <sheetName val="2р аудиовизуальная  "/>
      <sheetName val="3 коктейли"/>
      <sheetName val="3р коктейли "/>
      <sheetName val="4 душ дождевой"/>
      <sheetName val="4р душ дождевой "/>
      <sheetName val="5 грязь общая "/>
      <sheetName val="5р грязь общая "/>
      <sheetName val="6 грязеразв."/>
      <sheetName val="6р грязеразв."/>
      <sheetName val="цена материалов"/>
    </sheetNames>
    <sheetDataSet>
      <sheetData sheetId="0" refreshError="1">
        <row r="17">
          <cell r="B17" t="str">
            <v>Магнитостимуляция</v>
          </cell>
        </row>
        <row r="18">
          <cell r="B18" t="str">
            <v>Аудиовизуальная стимуляция</v>
          </cell>
        </row>
        <row r="20">
          <cell r="B20" t="str">
            <v>Коктейли кислородные</v>
          </cell>
        </row>
        <row r="22">
          <cell r="B22" t="str">
            <v>Душ дождевой</v>
          </cell>
        </row>
        <row r="24">
          <cell r="B24" t="str">
            <v>Аппликация сапропелевой грязи общая</v>
          </cell>
        </row>
        <row r="25">
          <cell r="B25" t="str">
            <v>Ванны грязеразводные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 неврол"/>
      <sheetName val="1р"/>
      <sheetName val="2 Повтор. прием"/>
      <sheetName val="2р"/>
      <sheetName val="3 Первич прием терап"/>
      <sheetName val="3р"/>
      <sheetName val="4 Повтор прием терап"/>
      <sheetName val="4р"/>
      <sheetName val="5р"/>
      <sheetName val="5 Педиатр"/>
      <sheetName val="6 Повт.педиатр"/>
      <sheetName val="6р"/>
      <sheetName val="Цена на препараты"/>
    </sheetNames>
    <sheetDataSet>
      <sheetData sheetId="0"/>
      <sheetData sheetId="1"/>
      <sheetData sheetId="2"/>
      <sheetData sheetId="3"/>
      <sheetData sheetId="4">
        <row r="12">
          <cell r="A12" t="str">
            <v>Первичный прием врача-невролога</v>
          </cell>
        </row>
        <row r="28">
          <cell r="G28">
            <v>20</v>
          </cell>
        </row>
        <row r="32">
          <cell r="P32">
            <v>0.09</v>
          </cell>
        </row>
      </sheetData>
      <sheetData sheetId="5">
        <row r="28">
          <cell r="G28">
            <v>27.89</v>
          </cell>
        </row>
      </sheetData>
      <sheetData sheetId="6">
        <row r="12">
          <cell r="A12" t="str">
            <v>Повторный прием врача-невролога</v>
          </cell>
        </row>
        <row r="28">
          <cell r="G28">
            <v>12.59</v>
          </cell>
        </row>
        <row r="32">
          <cell r="P32">
            <v>0.09</v>
          </cell>
        </row>
      </sheetData>
      <sheetData sheetId="7">
        <row r="28">
          <cell r="G28">
            <v>16.64</v>
          </cell>
        </row>
      </sheetData>
      <sheetData sheetId="8">
        <row r="12">
          <cell r="A12" t="str">
            <v>Первичный прием врача-терапевта</v>
          </cell>
        </row>
        <row r="28">
          <cell r="G28">
            <v>20.149999999999999</v>
          </cell>
        </row>
        <row r="32">
          <cell r="P32">
            <v>0.09</v>
          </cell>
        </row>
      </sheetData>
      <sheetData sheetId="9">
        <row r="28">
          <cell r="G28">
            <v>28.16</v>
          </cell>
        </row>
      </sheetData>
      <sheetData sheetId="10">
        <row r="12">
          <cell r="A12" t="str">
            <v>Повторный прием врача-терапевта</v>
          </cell>
        </row>
        <row r="28">
          <cell r="G28">
            <v>12.04</v>
          </cell>
        </row>
        <row r="32">
          <cell r="P32">
            <v>0.09</v>
          </cell>
        </row>
      </sheetData>
      <sheetData sheetId="11">
        <row r="28">
          <cell r="G28">
            <v>16.57</v>
          </cell>
        </row>
      </sheetData>
      <sheetData sheetId="12">
        <row r="28">
          <cell r="G28">
            <v>22.91</v>
          </cell>
        </row>
      </sheetData>
      <sheetData sheetId="13">
        <row r="28">
          <cell r="G28">
            <v>15.59</v>
          </cell>
        </row>
        <row r="31">
          <cell r="P31">
            <v>0.09</v>
          </cell>
        </row>
      </sheetData>
      <sheetData sheetId="14">
        <row r="28">
          <cell r="G28">
            <v>7.93</v>
          </cell>
        </row>
        <row r="32">
          <cell r="P32">
            <v>0.09</v>
          </cell>
        </row>
      </sheetData>
      <sheetData sheetId="15">
        <row r="28">
          <cell r="G28">
            <v>11.13</v>
          </cell>
        </row>
      </sheetData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4">
          <cell r="P24">
            <v>0.4</v>
          </cell>
        </row>
        <row r="26">
          <cell r="G26">
            <v>0.54</v>
          </cell>
        </row>
      </sheetData>
      <sheetData sheetId="1">
        <row r="26">
          <cell r="G26">
            <v>0.68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2р"/>
      <sheetName val="2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6">
          <cell r="G26">
            <v>3.7</v>
          </cell>
        </row>
      </sheetData>
      <sheetData sheetId="1">
        <row r="26">
          <cell r="G26">
            <v>5.36</v>
          </cell>
        </row>
      </sheetData>
      <sheetData sheetId="2">
        <row r="26">
          <cell r="G26">
            <v>5.36</v>
          </cell>
        </row>
      </sheetData>
      <sheetData sheetId="3">
        <row r="26">
          <cell r="G26">
            <v>3.7</v>
          </cell>
        </row>
      </sheetData>
      <sheetData sheetId="4"/>
      <sheetData sheetId="5"/>
      <sheetData sheetId="6"/>
      <sheetData sheetId="7"/>
      <sheetData sheetId="8">
        <row r="8">
          <cell r="B8" t="str">
    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    </cell>
        </row>
        <row r="9">
          <cell r="B9" t="str">
            <v>Лечебная физкультура для беременных: при малогрупповом методе занятий (до 5 человек)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нутрим.инъекция"/>
      <sheetName val="1р"/>
      <sheetName val="2 внутривенное капельное введ."/>
      <sheetName val="2р"/>
      <sheetName val="3 Подкожная инъекция"/>
      <sheetName val="3р"/>
      <sheetName val="4 Внутривенное струйное введени"/>
      <sheetName val="4р"/>
      <sheetName val="5 Внутрикожная инъекция"/>
      <sheetName val="5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8">
          <cell r="G28">
            <v>2.97</v>
          </cell>
        </row>
        <row r="32">
          <cell r="O32">
            <v>3.09</v>
          </cell>
        </row>
      </sheetData>
      <sheetData sheetId="1">
        <row r="28">
          <cell r="G28">
            <v>4.08</v>
          </cell>
        </row>
      </sheetData>
      <sheetData sheetId="2">
        <row r="28">
          <cell r="G28">
            <v>10.26</v>
          </cell>
        </row>
        <row r="35">
          <cell r="O35">
            <v>6.51</v>
          </cell>
        </row>
      </sheetData>
      <sheetData sheetId="3">
        <row r="28">
          <cell r="G28">
            <v>14.09</v>
          </cell>
        </row>
      </sheetData>
      <sheetData sheetId="4">
        <row r="28">
          <cell r="G28">
            <v>2.08</v>
          </cell>
        </row>
        <row r="30">
          <cell r="O30">
            <v>3.06</v>
          </cell>
        </row>
      </sheetData>
      <sheetData sheetId="5">
        <row r="28">
          <cell r="G28">
            <v>3.06</v>
          </cell>
        </row>
      </sheetData>
      <sheetData sheetId="6">
        <row r="28">
          <cell r="G28">
            <v>4.41</v>
          </cell>
        </row>
        <row r="33">
          <cell r="O33">
            <v>3.48</v>
          </cell>
        </row>
      </sheetData>
      <sheetData sheetId="7">
        <row r="28">
          <cell r="G28">
            <v>5.89</v>
          </cell>
        </row>
      </sheetData>
      <sheetData sheetId="8">
        <row r="28">
          <cell r="G28">
            <v>2.08</v>
          </cell>
        </row>
        <row r="31">
          <cell r="O31">
            <v>3.06</v>
          </cell>
        </row>
      </sheetData>
      <sheetData sheetId="9">
        <row r="28">
          <cell r="G28">
            <v>2.72</v>
          </cell>
        </row>
      </sheetData>
      <sheetData sheetId="10"/>
      <sheetData sheetId="11"/>
      <sheetData sheetId="12"/>
      <sheetData sheetId="13"/>
      <sheetData sheetId="14">
        <row r="8">
          <cell r="B8" t="str">
            <v>Внутримышечная инъекция</v>
          </cell>
        </row>
        <row r="9">
          <cell r="B9" t="str">
            <v>Внутривенное капельное введение раствора лекарственного средства объемом 200 мл</v>
          </cell>
        </row>
        <row r="10">
          <cell r="B10" t="str">
            <v>Подкожная инъекция</v>
          </cell>
        </row>
        <row r="11">
          <cell r="B11" t="str">
            <v>Внутривенное струйное введение лекарственных средств</v>
          </cell>
        </row>
        <row r="12">
          <cell r="B12" t="str">
            <v>Внутрикожная инъекция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13" workbookViewId="0"/>
  </sheetViews>
  <sheetFormatPr defaultRowHeight="15" x14ac:dyDescent="0.25"/>
  <cols>
    <col min="1" max="1" width="5.7109375" style="3" customWidth="1"/>
    <col min="2" max="2" width="59.140625" style="3" customWidth="1"/>
    <col min="3" max="3" width="8.42578125" style="3" customWidth="1"/>
    <col min="4" max="4" width="13.42578125" style="3" customWidth="1"/>
    <col min="5" max="5" width="8.28515625" style="3" customWidth="1"/>
    <col min="6" max="6" width="14.7109375" style="3" customWidth="1"/>
    <col min="7" max="7" width="9.140625" style="3" hidden="1" customWidth="1"/>
    <col min="8" max="8" width="12.7109375" style="3" customWidth="1"/>
    <col min="9" max="256" width="9.140625" style="3"/>
    <col min="257" max="257" width="5.7109375" style="3" customWidth="1"/>
    <col min="258" max="258" width="59.140625" style="3" customWidth="1"/>
    <col min="259" max="259" width="8.42578125" style="3" customWidth="1"/>
    <col min="260" max="260" width="13.42578125" style="3" customWidth="1"/>
    <col min="261" max="261" width="8.28515625" style="3" customWidth="1"/>
    <col min="262" max="262" width="14.7109375" style="3" customWidth="1"/>
    <col min="263" max="263" width="0" style="3" hidden="1" customWidth="1"/>
    <col min="264" max="264" width="12.7109375" style="3" customWidth="1"/>
    <col min="265" max="512" width="9.140625" style="3"/>
    <col min="513" max="513" width="5.7109375" style="3" customWidth="1"/>
    <col min="514" max="514" width="59.140625" style="3" customWidth="1"/>
    <col min="515" max="515" width="8.42578125" style="3" customWidth="1"/>
    <col min="516" max="516" width="13.42578125" style="3" customWidth="1"/>
    <col min="517" max="517" width="8.28515625" style="3" customWidth="1"/>
    <col min="518" max="518" width="14.7109375" style="3" customWidth="1"/>
    <col min="519" max="519" width="0" style="3" hidden="1" customWidth="1"/>
    <col min="520" max="520" width="12.7109375" style="3" customWidth="1"/>
    <col min="521" max="768" width="9.140625" style="3"/>
    <col min="769" max="769" width="5.7109375" style="3" customWidth="1"/>
    <col min="770" max="770" width="59.140625" style="3" customWidth="1"/>
    <col min="771" max="771" width="8.42578125" style="3" customWidth="1"/>
    <col min="772" max="772" width="13.42578125" style="3" customWidth="1"/>
    <col min="773" max="773" width="8.28515625" style="3" customWidth="1"/>
    <col min="774" max="774" width="14.7109375" style="3" customWidth="1"/>
    <col min="775" max="775" width="0" style="3" hidden="1" customWidth="1"/>
    <col min="776" max="776" width="12.7109375" style="3" customWidth="1"/>
    <col min="777" max="1024" width="9.140625" style="3"/>
    <col min="1025" max="1025" width="5.7109375" style="3" customWidth="1"/>
    <col min="1026" max="1026" width="59.140625" style="3" customWidth="1"/>
    <col min="1027" max="1027" width="8.42578125" style="3" customWidth="1"/>
    <col min="1028" max="1028" width="13.42578125" style="3" customWidth="1"/>
    <col min="1029" max="1029" width="8.28515625" style="3" customWidth="1"/>
    <col min="1030" max="1030" width="14.7109375" style="3" customWidth="1"/>
    <col min="1031" max="1031" width="0" style="3" hidden="1" customWidth="1"/>
    <col min="1032" max="1032" width="12.7109375" style="3" customWidth="1"/>
    <col min="1033" max="1280" width="9.140625" style="3"/>
    <col min="1281" max="1281" width="5.7109375" style="3" customWidth="1"/>
    <col min="1282" max="1282" width="59.140625" style="3" customWidth="1"/>
    <col min="1283" max="1283" width="8.42578125" style="3" customWidth="1"/>
    <col min="1284" max="1284" width="13.42578125" style="3" customWidth="1"/>
    <col min="1285" max="1285" width="8.28515625" style="3" customWidth="1"/>
    <col min="1286" max="1286" width="14.7109375" style="3" customWidth="1"/>
    <col min="1287" max="1287" width="0" style="3" hidden="1" customWidth="1"/>
    <col min="1288" max="1288" width="12.7109375" style="3" customWidth="1"/>
    <col min="1289" max="1536" width="9.140625" style="3"/>
    <col min="1537" max="1537" width="5.7109375" style="3" customWidth="1"/>
    <col min="1538" max="1538" width="59.140625" style="3" customWidth="1"/>
    <col min="1539" max="1539" width="8.42578125" style="3" customWidth="1"/>
    <col min="1540" max="1540" width="13.42578125" style="3" customWidth="1"/>
    <col min="1541" max="1541" width="8.28515625" style="3" customWidth="1"/>
    <col min="1542" max="1542" width="14.7109375" style="3" customWidth="1"/>
    <col min="1543" max="1543" width="0" style="3" hidden="1" customWidth="1"/>
    <col min="1544" max="1544" width="12.7109375" style="3" customWidth="1"/>
    <col min="1545" max="1792" width="9.140625" style="3"/>
    <col min="1793" max="1793" width="5.7109375" style="3" customWidth="1"/>
    <col min="1794" max="1794" width="59.140625" style="3" customWidth="1"/>
    <col min="1795" max="1795" width="8.42578125" style="3" customWidth="1"/>
    <col min="1796" max="1796" width="13.42578125" style="3" customWidth="1"/>
    <col min="1797" max="1797" width="8.28515625" style="3" customWidth="1"/>
    <col min="1798" max="1798" width="14.7109375" style="3" customWidth="1"/>
    <col min="1799" max="1799" width="0" style="3" hidden="1" customWidth="1"/>
    <col min="1800" max="1800" width="12.7109375" style="3" customWidth="1"/>
    <col min="1801" max="2048" width="9.140625" style="3"/>
    <col min="2049" max="2049" width="5.7109375" style="3" customWidth="1"/>
    <col min="2050" max="2050" width="59.140625" style="3" customWidth="1"/>
    <col min="2051" max="2051" width="8.42578125" style="3" customWidth="1"/>
    <col min="2052" max="2052" width="13.42578125" style="3" customWidth="1"/>
    <col min="2053" max="2053" width="8.28515625" style="3" customWidth="1"/>
    <col min="2054" max="2054" width="14.7109375" style="3" customWidth="1"/>
    <col min="2055" max="2055" width="0" style="3" hidden="1" customWidth="1"/>
    <col min="2056" max="2056" width="12.7109375" style="3" customWidth="1"/>
    <col min="2057" max="2304" width="9.140625" style="3"/>
    <col min="2305" max="2305" width="5.7109375" style="3" customWidth="1"/>
    <col min="2306" max="2306" width="59.140625" style="3" customWidth="1"/>
    <col min="2307" max="2307" width="8.42578125" style="3" customWidth="1"/>
    <col min="2308" max="2308" width="13.42578125" style="3" customWidth="1"/>
    <col min="2309" max="2309" width="8.28515625" style="3" customWidth="1"/>
    <col min="2310" max="2310" width="14.7109375" style="3" customWidth="1"/>
    <col min="2311" max="2311" width="0" style="3" hidden="1" customWidth="1"/>
    <col min="2312" max="2312" width="12.7109375" style="3" customWidth="1"/>
    <col min="2313" max="2560" width="9.140625" style="3"/>
    <col min="2561" max="2561" width="5.7109375" style="3" customWidth="1"/>
    <col min="2562" max="2562" width="59.140625" style="3" customWidth="1"/>
    <col min="2563" max="2563" width="8.42578125" style="3" customWidth="1"/>
    <col min="2564" max="2564" width="13.42578125" style="3" customWidth="1"/>
    <col min="2565" max="2565" width="8.28515625" style="3" customWidth="1"/>
    <col min="2566" max="2566" width="14.7109375" style="3" customWidth="1"/>
    <col min="2567" max="2567" width="0" style="3" hidden="1" customWidth="1"/>
    <col min="2568" max="2568" width="12.7109375" style="3" customWidth="1"/>
    <col min="2569" max="2816" width="9.140625" style="3"/>
    <col min="2817" max="2817" width="5.7109375" style="3" customWidth="1"/>
    <col min="2818" max="2818" width="59.140625" style="3" customWidth="1"/>
    <col min="2819" max="2819" width="8.42578125" style="3" customWidth="1"/>
    <col min="2820" max="2820" width="13.42578125" style="3" customWidth="1"/>
    <col min="2821" max="2821" width="8.28515625" style="3" customWidth="1"/>
    <col min="2822" max="2822" width="14.7109375" style="3" customWidth="1"/>
    <col min="2823" max="2823" width="0" style="3" hidden="1" customWidth="1"/>
    <col min="2824" max="2824" width="12.7109375" style="3" customWidth="1"/>
    <col min="2825" max="3072" width="9.140625" style="3"/>
    <col min="3073" max="3073" width="5.7109375" style="3" customWidth="1"/>
    <col min="3074" max="3074" width="59.140625" style="3" customWidth="1"/>
    <col min="3075" max="3075" width="8.42578125" style="3" customWidth="1"/>
    <col min="3076" max="3076" width="13.42578125" style="3" customWidth="1"/>
    <col min="3077" max="3077" width="8.28515625" style="3" customWidth="1"/>
    <col min="3078" max="3078" width="14.7109375" style="3" customWidth="1"/>
    <col min="3079" max="3079" width="0" style="3" hidden="1" customWidth="1"/>
    <col min="3080" max="3080" width="12.7109375" style="3" customWidth="1"/>
    <col min="3081" max="3328" width="9.140625" style="3"/>
    <col min="3329" max="3329" width="5.7109375" style="3" customWidth="1"/>
    <col min="3330" max="3330" width="59.140625" style="3" customWidth="1"/>
    <col min="3331" max="3331" width="8.42578125" style="3" customWidth="1"/>
    <col min="3332" max="3332" width="13.42578125" style="3" customWidth="1"/>
    <col min="3333" max="3333" width="8.28515625" style="3" customWidth="1"/>
    <col min="3334" max="3334" width="14.7109375" style="3" customWidth="1"/>
    <col min="3335" max="3335" width="0" style="3" hidden="1" customWidth="1"/>
    <col min="3336" max="3336" width="12.7109375" style="3" customWidth="1"/>
    <col min="3337" max="3584" width="9.140625" style="3"/>
    <col min="3585" max="3585" width="5.7109375" style="3" customWidth="1"/>
    <col min="3586" max="3586" width="59.140625" style="3" customWidth="1"/>
    <col min="3587" max="3587" width="8.42578125" style="3" customWidth="1"/>
    <col min="3588" max="3588" width="13.42578125" style="3" customWidth="1"/>
    <col min="3589" max="3589" width="8.28515625" style="3" customWidth="1"/>
    <col min="3590" max="3590" width="14.7109375" style="3" customWidth="1"/>
    <col min="3591" max="3591" width="0" style="3" hidden="1" customWidth="1"/>
    <col min="3592" max="3592" width="12.7109375" style="3" customWidth="1"/>
    <col min="3593" max="3840" width="9.140625" style="3"/>
    <col min="3841" max="3841" width="5.7109375" style="3" customWidth="1"/>
    <col min="3842" max="3842" width="59.140625" style="3" customWidth="1"/>
    <col min="3843" max="3843" width="8.42578125" style="3" customWidth="1"/>
    <col min="3844" max="3844" width="13.42578125" style="3" customWidth="1"/>
    <col min="3845" max="3845" width="8.28515625" style="3" customWidth="1"/>
    <col min="3846" max="3846" width="14.7109375" style="3" customWidth="1"/>
    <col min="3847" max="3847" width="0" style="3" hidden="1" customWidth="1"/>
    <col min="3848" max="3848" width="12.7109375" style="3" customWidth="1"/>
    <col min="3849" max="4096" width="9.140625" style="3"/>
    <col min="4097" max="4097" width="5.7109375" style="3" customWidth="1"/>
    <col min="4098" max="4098" width="59.140625" style="3" customWidth="1"/>
    <col min="4099" max="4099" width="8.42578125" style="3" customWidth="1"/>
    <col min="4100" max="4100" width="13.42578125" style="3" customWidth="1"/>
    <col min="4101" max="4101" width="8.28515625" style="3" customWidth="1"/>
    <col min="4102" max="4102" width="14.7109375" style="3" customWidth="1"/>
    <col min="4103" max="4103" width="0" style="3" hidden="1" customWidth="1"/>
    <col min="4104" max="4104" width="12.7109375" style="3" customWidth="1"/>
    <col min="4105" max="4352" width="9.140625" style="3"/>
    <col min="4353" max="4353" width="5.7109375" style="3" customWidth="1"/>
    <col min="4354" max="4354" width="59.140625" style="3" customWidth="1"/>
    <col min="4355" max="4355" width="8.42578125" style="3" customWidth="1"/>
    <col min="4356" max="4356" width="13.42578125" style="3" customWidth="1"/>
    <col min="4357" max="4357" width="8.28515625" style="3" customWidth="1"/>
    <col min="4358" max="4358" width="14.7109375" style="3" customWidth="1"/>
    <col min="4359" max="4359" width="0" style="3" hidden="1" customWidth="1"/>
    <col min="4360" max="4360" width="12.7109375" style="3" customWidth="1"/>
    <col min="4361" max="4608" width="9.140625" style="3"/>
    <col min="4609" max="4609" width="5.7109375" style="3" customWidth="1"/>
    <col min="4610" max="4610" width="59.140625" style="3" customWidth="1"/>
    <col min="4611" max="4611" width="8.42578125" style="3" customWidth="1"/>
    <col min="4612" max="4612" width="13.42578125" style="3" customWidth="1"/>
    <col min="4613" max="4613" width="8.28515625" style="3" customWidth="1"/>
    <col min="4614" max="4614" width="14.7109375" style="3" customWidth="1"/>
    <col min="4615" max="4615" width="0" style="3" hidden="1" customWidth="1"/>
    <col min="4616" max="4616" width="12.7109375" style="3" customWidth="1"/>
    <col min="4617" max="4864" width="9.140625" style="3"/>
    <col min="4865" max="4865" width="5.7109375" style="3" customWidth="1"/>
    <col min="4866" max="4866" width="59.140625" style="3" customWidth="1"/>
    <col min="4867" max="4867" width="8.42578125" style="3" customWidth="1"/>
    <col min="4868" max="4868" width="13.42578125" style="3" customWidth="1"/>
    <col min="4869" max="4869" width="8.28515625" style="3" customWidth="1"/>
    <col min="4870" max="4870" width="14.7109375" style="3" customWidth="1"/>
    <col min="4871" max="4871" width="0" style="3" hidden="1" customWidth="1"/>
    <col min="4872" max="4872" width="12.7109375" style="3" customWidth="1"/>
    <col min="4873" max="5120" width="9.140625" style="3"/>
    <col min="5121" max="5121" width="5.7109375" style="3" customWidth="1"/>
    <col min="5122" max="5122" width="59.140625" style="3" customWidth="1"/>
    <col min="5123" max="5123" width="8.42578125" style="3" customWidth="1"/>
    <col min="5124" max="5124" width="13.42578125" style="3" customWidth="1"/>
    <col min="5125" max="5125" width="8.28515625" style="3" customWidth="1"/>
    <col min="5126" max="5126" width="14.7109375" style="3" customWidth="1"/>
    <col min="5127" max="5127" width="0" style="3" hidden="1" customWidth="1"/>
    <col min="5128" max="5128" width="12.7109375" style="3" customWidth="1"/>
    <col min="5129" max="5376" width="9.140625" style="3"/>
    <col min="5377" max="5377" width="5.7109375" style="3" customWidth="1"/>
    <col min="5378" max="5378" width="59.140625" style="3" customWidth="1"/>
    <col min="5379" max="5379" width="8.42578125" style="3" customWidth="1"/>
    <col min="5380" max="5380" width="13.42578125" style="3" customWidth="1"/>
    <col min="5381" max="5381" width="8.28515625" style="3" customWidth="1"/>
    <col min="5382" max="5382" width="14.7109375" style="3" customWidth="1"/>
    <col min="5383" max="5383" width="0" style="3" hidden="1" customWidth="1"/>
    <col min="5384" max="5384" width="12.7109375" style="3" customWidth="1"/>
    <col min="5385" max="5632" width="9.140625" style="3"/>
    <col min="5633" max="5633" width="5.7109375" style="3" customWidth="1"/>
    <col min="5634" max="5634" width="59.140625" style="3" customWidth="1"/>
    <col min="5635" max="5635" width="8.42578125" style="3" customWidth="1"/>
    <col min="5636" max="5636" width="13.42578125" style="3" customWidth="1"/>
    <col min="5637" max="5637" width="8.28515625" style="3" customWidth="1"/>
    <col min="5638" max="5638" width="14.7109375" style="3" customWidth="1"/>
    <col min="5639" max="5639" width="0" style="3" hidden="1" customWidth="1"/>
    <col min="5640" max="5640" width="12.7109375" style="3" customWidth="1"/>
    <col min="5641" max="5888" width="9.140625" style="3"/>
    <col min="5889" max="5889" width="5.7109375" style="3" customWidth="1"/>
    <col min="5890" max="5890" width="59.140625" style="3" customWidth="1"/>
    <col min="5891" max="5891" width="8.42578125" style="3" customWidth="1"/>
    <col min="5892" max="5892" width="13.42578125" style="3" customWidth="1"/>
    <col min="5893" max="5893" width="8.28515625" style="3" customWidth="1"/>
    <col min="5894" max="5894" width="14.7109375" style="3" customWidth="1"/>
    <col min="5895" max="5895" width="0" style="3" hidden="1" customWidth="1"/>
    <col min="5896" max="5896" width="12.7109375" style="3" customWidth="1"/>
    <col min="5897" max="6144" width="9.140625" style="3"/>
    <col min="6145" max="6145" width="5.7109375" style="3" customWidth="1"/>
    <col min="6146" max="6146" width="59.140625" style="3" customWidth="1"/>
    <col min="6147" max="6147" width="8.42578125" style="3" customWidth="1"/>
    <col min="6148" max="6148" width="13.42578125" style="3" customWidth="1"/>
    <col min="6149" max="6149" width="8.28515625" style="3" customWidth="1"/>
    <col min="6150" max="6150" width="14.7109375" style="3" customWidth="1"/>
    <col min="6151" max="6151" width="0" style="3" hidden="1" customWidth="1"/>
    <col min="6152" max="6152" width="12.7109375" style="3" customWidth="1"/>
    <col min="6153" max="6400" width="9.140625" style="3"/>
    <col min="6401" max="6401" width="5.7109375" style="3" customWidth="1"/>
    <col min="6402" max="6402" width="59.140625" style="3" customWidth="1"/>
    <col min="6403" max="6403" width="8.42578125" style="3" customWidth="1"/>
    <col min="6404" max="6404" width="13.42578125" style="3" customWidth="1"/>
    <col min="6405" max="6405" width="8.28515625" style="3" customWidth="1"/>
    <col min="6406" max="6406" width="14.7109375" style="3" customWidth="1"/>
    <col min="6407" max="6407" width="0" style="3" hidden="1" customWidth="1"/>
    <col min="6408" max="6408" width="12.7109375" style="3" customWidth="1"/>
    <col min="6409" max="6656" width="9.140625" style="3"/>
    <col min="6657" max="6657" width="5.7109375" style="3" customWidth="1"/>
    <col min="6658" max="6658" width="59.140625" style="3" customWidth="1"/>
    <col min="6659" max="6659" width="8.42578125" style="3" customWidth="1"/>
    <col min="6660" max="6660" width="13.42578125" style="3" customWidth="1"/>
    <col min="6661" max="6661" width="8.28515625" style="3" customWidth="1"/>
    <col min="6662" max="6662" width="14.7109375" style="3" customWidth="1"/>
    <col min="6663" max="6663" width="0" style="3" hidden="1" customWidth="1"/>
    <col min="6664" max="6664" width="12.7109375" style="3" customWidth="1"/>
    <col min="6665" max="6912" width="9.140625" style="3"/>
    <col min="6913" max="6913" width="5.7109375" style="3" customWidth="1"/>
    <col min="6914" max="6914" width="59.140625" style="3" customWidth="1"/>
    <col min="6915" max="6915" width="8.42578125" style="3" customWidth="1"/>
    <col min="6916" max="6916" width="13.42578125" style="3" customWidth="1"/>
    <col min="6917" max="6917" width="8.28515625" style="3" customWidth="1"/>
    <col min="6918" max="6918" width="14.7109375" style="3" customWidth="1"/>
    <col min="6919" max="6919" width="0" style="3" hidden="1" customWidth="1"/>
    <col min="6920" max="6920" width="12.7109375" style="3" customWidth="1"/>
    <col min="6921" max="7168" width="9.140625" style="3"/>
    <col min="7169" max="7169" width="5.7109375" style="3" customWidth="1"/>
    <col min="7170" max="7170" width="59.140625" style="3" customWidth="1"/>
    <col min="7171" max="7171" width="8.42578125" style="3" customWidth="1"/>
    <col min="7172" max="7172" width="13.42578125" style="3" customWidth="1"/>
    <col min="7173" max="7173" width="8.28515625" style="3" customWidth="1"/>
    <col min="7174" max="7174" width="14.7109375" style="3" customWidth="1"/>
    <col min="7175" max="7175" width="0" style="3" hidden="1" customWidth="1"/>
    <col min="7176" max="7176" width="12.7109375" style="3" customWidth="1"/>
    <col min="7177" max="7424" width="9.140625" style="3"/>
    <col min="7425" max="7425" width="5.7109375" style="3" customWidth="1"/>
    <col min="7426" max="7426" width="59.140625" style="3" customWidth="1"/>
    <col min="7427" max="7427" width="8.42578125" style="3" customWidth="1"/>
    <col min="7428" max="7428" width="13.42578125" style="3" customWidth="1"/>
    <col min="7429" max="7429" width="8.28515625" style="3" customWidth="1"/>
    <col min="7430" max="7430" width="14.7109375" style="3" customWidth="1"/>
    <col min="7431" max="7431" width="0" style="3" hidden="1" customWidth="1"/>
    <col min="7432" max="7432" width="12.7109375" style="3" customWidth="1"/>
    <col min="7433" max="7680" width="9.140625" style="3"/>
    <col min="7681" max="7681" width="5.7109375" style="3" customWidth="1"/>
    <col min="7682" max="7682" width="59.140625" style="3" customWidth="1"/>
    <col min="7683" max="7683" width="8.42578125" style="3" customWidth="1"/>
    <col min="7684" max="7684" width="13.42578125" style="3" customWidth="1"/>
    <col min="7685" max="7685" width="8.28515625" style="3" customWidth="1"/>
    <col min="7686" max="7686" width="14.7109375" style="3" customWidth="1"/>
    <col min="7687" max="7687" width="0" style="3" hidden="1" customWidth="1"/>
    <col min="7688" max="7688" width="12.7109375" style="3" customWidth="1"/>
    <col min="7689" max="7936" width="9.140625" style="3"/>
    <col min="7937" max="7937" width="5.7109375" style="3" customWidth="1"/>
    <col min="7938" max="7938" width="59.140625" style="3" customWidth="1"/>
    <col min="7939" max="7939" width="8.42578125" style="3" customWidth="1"/>
    <col min="7940" max="7940" width="13.42578125" style="3" customWidth="1"/>
    <col min="7941" max="7941" width="8.28515625" style="3" customWidth="1"/>
    <col min="7942" max="7942" width="14.7109375" style="3" customWidth="1"/>
    <col min="7943" max="7943" width="0" style="3" hidden="1" customWidth="1"/>
    <col min="7944" max="7944" width="12.7109375" style="3" customWidth="1"/>
    <col min="7945" max="8192" width="9.140625" style="3"/>
    <col min="8193" max="8193" width="5.7109375" style="3" customWidth="1"/>
    <col min="8194" max="8194" width="59.140625" style="3" customWidth="1"/>
    <col min="8195" max="8195" width="8.42578125" style="3" customWidth="1"/>
    <col min="8196" max="8196" width="13.42578125" style="3" customWidth="1"/>
    <col min="8197" max="8197" width="8.28515625" style="3" customWidth="1"/>
    <col min="8198" max="8198" width="14.7109375" style="3" customWidth="1"/>
    <col min="8199" max="8199" width="0" style="3" hidden="1" customWidth="1"/>
    <col min="8200" max="8200" width="12.7109375" style="3" customWidth="1"/>
    <col min="8201" max="8448" width="9.140625" style="3"/>
    <col min="8449" max="8449" width="5.7109375" style="3" customWidth="1"/>
    <col min="8450" max="8450" width="59.140625" style="3" customWidth="1"/>
    <col min="8451" max="8451" width="8.42578125" style="3" customWidth="1"/>
    <col min="8452" max="8452" width="13.42578125" style="3" customWidth="1"/>
    <col min="8453" max="8453" width="8.28515625" style="3" customWidth="1"/>
    <col min="8454" max="8454" width="14.7109375" style="3" customWidth="1"/>
    <col min="8455" max="8455" width="0" style="3" hidden="1" customWidth="1"/>
    <col min="8456" max="8456" width="12.7109375" style="3" customWidth="1"/>
    <col min="8457" max="8704" width="9.140625" style="3"/>
    <col min="8705" max="8705" width="5.7109375" style="3" customWidth="1"/>
    <col min="8706" max="8706" width="59.140625" style="3" customWidth="1"/>
    <col min="8707" max="8707" width="8.42578125" style="3" customWidth="1"/>
    <col min="8708" max="8708" width="13.42578125" style="3" customWidth="1"/>
    <col min="8709" max="8709" width="8.28515625" style="3" customWidth="1"/>
    <col min="8710" max="8710" width="14.7109375" style="3" customWidth="1"/>
    <col min="8711" max="8711" width="0" style="3" hidden="1" customWidth="1"/>
    <col min="8712" max="8712" width="12.7109375" style="3" customWidth="1"/>
    <col min="8713" max="8960" width="9.140625" style="3"/>
    <col min="8961" max="8961" width="5.7109375" style="3" customWidth="1"/>
    <col min="8962" max="8962" width="59.140625" style="3" customWidth="1"/>
    <col min="8963" max="8963" width="8.42578125" style="3" customWidth="1"/>
    <col min="8964" max="8964" width="13.42578125" style="3" customWidth="1"/>
    <col min="8965" max="8965" width="8.28515625" style="3" customWidth="1"/>
    <col min="8966" max="8966" width="14.7109375" style="3" customWidth="1"/>
    <col min="8967" max="8967" width="0" style="3" hidden="1" customWidth="1"/>
    <col min="8968" max="8968" width="12.7109375" style="3" customWidth="1"/>
    <col min="8969" max="9216" width="9.140625" style="3"/>
    <col min="9217" max="9217" width="5.7109375" style="3" customWidth="1"/>
    <col min="9218" max="9218" width="59.140625" style="3" customWidth="1"/>
    <col min="9219" max="9219" width="8.42578125" style="3" customWidth="1"/>
    <col min="9220" max="9220" width="13.42578125" style="3" customWidth="1"/>
    <col min="9221" max="9221" width="8.28515625" style="3" customWidth="1"/>
    <col min="9222" max="9222" width="14.7109375" style="3" customWidth="1"/>
    <col min="9223" max="9223" width="0" style="3" hidden="1" customWidth="1"/>
    <col min="9224" max="9224" width="12.7109375" style="3" customWidth="1"/>
    <col min="9225" max="9472" width="9.140625" style="3"/>
    <col min="9473" max="9473" width="5.7109375" style="3" customWidth="1"/>
    <col min="9474" max="9474" width="59.140625" style="3" customWidth="1"/>
    <col min="9475" max="9475" width="8.42578125" style="3" customWidth="1"/>
    <col min="9476" max="9476" width="13.42578125" style="3" customWidth="1"/>
    <col min="9477" max="9477" width="8.28515625" style="3" customWidth="1"/>
    <col min="9478" max="9478" width="14.7109375" style="3" customWidth="1"/>
    <col min="9479" max="9479" width="0" style="3" hidden="1" customWidth="1"/>
    <col min="9480" max="9480" width="12.7109375" style="3" customWidth="1"/>
    <col min="9481" max="9728" width="9.140625" style="3"/>
    <col min="9729" max="9729" width="5.7109375" style="3" customWidth="1"/>
    <col min="9730" max="9730" width="59.140625" style="3" customWidth="1"/>
    <col min="9731" max="9731" width="8.42578125" style="3" customWidth="1"/>
    <col min="9732" max="9732" width="13.42578125" style="3" customWidth="1"/>
    <col min="9733" max="9733" width="8.28515625" style="3" customWidth="1"/>
    <col min="9734" max="9734" width="14.7109375" style="3" customWidth="1"/>
    <col min="9735" max="9735" width="0" style="3" hidden="1" customWidth="1"/>
    <col min="9736" max="9736" width="12.7109375" style="3" customWidth="1"/>
    <col min="9737" max="9984" width="9.140625" style="3"/>
    <col min="9985" max="9985" width="5.7109375" style="3" customWidth="1"/>
    <col min="9986" max="9986" width="59.140625" style="3" customWidth="1"/>
    <col min="9987" max="9987" width="8.42578125" style="3" customWidth="1"/>
    <col min="9988" max="9988" width="13.42578125" style="3" customWidth="1"/>
    <col min="9989" max="9989" width="8.28515625" style="3" customWidth="1"/>
    <col min="9990" max="9990" width="14.7109375" style="3" customWidth="1"/>
    <col min="9991" max="9991" width="0" style="3" hidden="1" customWidth="1"/>
    <col min="9992" max="9992" width="12.7109375" style="3" customWidth="1"/>
    <col min="9993" max="10240" width="9.140625" style="3"/>
    <col min="10241" max="10241" width="5.7109375" style="3" customWidth="1"/>
    <col min="10242" max="10242" width="59.140625" style="3" customWidth="1"/>
    <col min="10243" max="10243" width="8.42578125" style="3" customWidth="1"/>
    <col min="10244" max="10244" width="13.42578125" style="3" customWidth="1"/>
    <col min="10245" max="10245" width="8.28515625" style="3" customWidth="1"/>
    <col min="10246" max="10246" width="14.7109375" style="3" customWidth="1"/>
    <col min="10247" max="10247" width="0" style="3" hidden="1" customWidth="1"/>
    <col min="10248" max="10248" width="12.7109375" style="3" customWidth="1"/>
    <col min="10249" max="10496" width="9.140625" style="3"/>
    <col min="10497" max="10497" width="5.7109375" style="3" customWidth="1"/>
    <col min="10498" max="10498" width="59.140625" style="3" customWidth="1"/>
    <col min="10499" max="10499" width="8.42578125" style="3" customWidth="1"/>
    <col min="10500" max="10500" width="13.42578125" style="3" customWidth="1"/>
    <col min="10501" max="10501" width="8.28515625" style="3" customWidth="1"/>
    <col min="10502" max="10502" width="14.7109375" style="3" customWidth="1"/>
    <col min="10503" max="10503" width="0" style="3" hidden="1" customWidth="1"/>
    <col min="10504" max="10504" width="12.7109375" style="3" customWidth="1"/>
    <col min="10505" max="10752" width="9.140625" style="3"/>
    <col min="10753" max="10753" width="5.7109375" style="3" customWidth="1"/>
    <col min="10754" max="10754" width="59.140625" style="3" customWidth="1"/>
    <col min="10755" max="10755" width="8.42578125" style="3" customWidth="1"/>
    <col min="10756" max="10756" width="13.42578125" style="3" customWidth="1"/>
    <col min="10757" max="10757" width="8.28515625" style="3" customWidth="1"/>
    <col min="10758" max="10758" width="14.7109375" style="3" customWidth="1"/>
    <col min="10759" max="10759" width="0" style="3" hidden="1" customWidth="1"/>
    <col min="10760" max="10760" width="12.7109375" style="3" customWidth="1"/>
    <col min="10761" max="11008" width="9.140625" style="3"/>
    <col min="11009" max="11009" width="5.7109375" style="3" customWidth="1"/>
    <col min="11010" max="11010" width="59.140625" style="3" customWidth="1"/>
    <col min="11011" max="11011" width="8.42578125" style="3" customWidth="1"/>
    <col min="11012" max="11012" width="13.42578125" style="3" customWidth="1"/>
    <col min="11013" max="11013" width="8.28515625" style="3" customWidth="1"/>
    <col min="11014" max="11014" width="14.7109375" style="3" customWidth="1"/>
    <col min="11015" max="11015" width="0" style="3" hidden="1" customWidth="1"/>
    <col min="11016" max="11016" width="12.7109375" style="3" customWidth="1"/>
    <col min="11017" max="11264" width="9.140625" style="3"/>
    <col min="11265" max="11265" width="5.7109375" style="3" customWidth="1"/>
    <col min="11266" max="11266" width="59.140625" style="3" customWidth="1"/>
    <col min="11267" max="11267" width="8.42578125" style="3" customWidth="1"/>
    <col min="11268" max="11268" width="13.42578125" style="3" customWidth="1"/>
    <col min="11269" max="11269" width="8.28515625" style="3" customWidth="1"/>
    <col min="11270" max="11270" width="14.7109375" style="3" customWidth="1"/>
    <col min="11271" max="11271" width="0" style="3" hidden="1" customWidth="1"/>
    <col min="11272" max="11272" width="12.7109375" style="3" customWidth="1"/>
    <col min="11273" max="11520" width="9.140625" style="3"/>
    <col min="11521" max="11521" width="5.7109375" style="3" customWidth="1"/>
    <col min="11522" max="11522" width="59.140625" style="3" customWidth="1"/>
    <col min="11523" max="11523" width="8.42578125" style="3" customWidth="1"/>
    <col min="11524" max="11524" width="13.42578125" style="3" customWidth="1"/>
    <col min="11525" max="11525" width="8.28515625" style="3" customWidth="1"/>
    <col min="11526" max="11526" width="14.7109375" style="3" customWidth="1"/>
    <col min="11527" max="11527" width="0" style="3" hidden="1" customWidth="1"/>
    <col min="11528" max="11528" width="12.7109375" style="3" customWidth="1"/>
    <col min="11529" max="11776" width="9.140625" style="3"/>
    <col min="11777" max="11777" width="5.7109375" style="3" customWidth="1"/>
    <col min="11778" max="11778" width="59.140625" style="3" customWidth="1"/>
    <col min="11779" max="11779" width="8.42578125" style="3" customWidth="1"/>
    <col min="11780" max="11780" width="13.42578125" style="3" customWidth="1"/>
    <col min="11781" max="11781" width="8.28515625" style="3" customWidth="1"/>
    <col min="11782" max="11782" width="14.7109375" style="3" customWidth="1"/>
    <col min="11783" max="11783" width="0" style="3" hidden="1" customWidth="1"/>
    <col min="11784" max="11784" width="12.7109375" style="3" customWidth="1"/>
    <col min="11785" max="12032" width="9.140625" style="3"/>
    <col min="12033" max="12033" width="5.7109375" style="3" customWidth="1"/>
    <col min="12034" max="12034" width="59.140625" style="3" customWidth="1"/>
    <col min="12035" max="12035" width="8.42578125" style="3" customWidth="1"/>
    <col min="12036" max="12036" width="13.42578125" style="3" customWidth="1"/>
    <col min="12037" max="12037" width="8.28515625" style="3" customWidth="1"/>
    <col min="12038" max="12038" width="14.7109375" style="3" customWidth="1"/>
    <col min="12039" max="12039" width="0" style="3" hidden="1" customWidth="1"/>
    <col min="12040" max="12040" width="12.7109375" style="3" customWidth="1"/>
    <col min="12041" max="12288" width="9.140625" style="3"/>
    <col min="12289" max="12289" width="5.7109375" style="3" customWidth="1"/>
    <col min="12290" max="12290" width="59.140625" style="3" customWidth="1"/>
    <col min="12291" max="12291" width="8.42578125" style="3" customWidth="1"/>
    <col min="12292" max="12292" width="13.42578125" style="3" customWidth="1"/>
    <col min="12293" max="12293" width="8.28515625" style="3" customWidth="1"/>
    <col min="12294" max="12294" width="14.7109375" style="3" customWidth="1"/>
    <col min="12295" max="12295" width="0" style="3" hidden="1" customWidth="1"/>
    <col min="12296" max="12296" width="12.7109375" style="3" customWidth="1"/>
    <col min="12297" max="12544" width="9.140625" style="3"/>
    <col min="12545" max="12545" width="5.7109375" style="3" customWidth="1"/>
    <col min="12546" max="12546" width="59.140625" style="3" customWidth="1"/>
    <col min="12547" max="12547" width="8.42578125" style="3" customWidth="1"/>
    <col min="12548" max="12548" width="13.42578125" style="3" customWidth="1"/>
    <col min="12549" max="12549" width="8.28515625" style="3" customWidth="1"/>
    <col min="12550" max="12550" width="14.7109375" style="3" customWidth="1"/>
    <col min="12551" max="12551" width="0" style="3" hidden="1" customWidth="1"/>
    <col min="12552" max="12552" width="12.7109375" style="3" customWidth="1"/>
    <col min="12553" max="12800" width="9.140625" style="3"/>
    <col min="12801" max="12801" width="5.7109375" style="3" customWidth="1"/>
    <col min="12802" max="12802" width="59.140625" style="3" customWidth="1"/>
    <col min="12803" max="12803" width="8.42578125" style="3" customWidth="1"/>
    <col min="12804" max="12804" width="13.42578125" style="3" customWidth="1"/>
    <col min="12805" max="12805" width="8.28515625" style="3" customWidth="1"/>
    <col min="12806" max="12806" width="14.7109375" style="3" customWidth="1"/>
    <col min="12807" max="12807" width="0" style="3" hidden="1" customWidth="1"/>
    <col min="12808" max="12808" width="12.7109375" style="3" customWidth="1"/>
    <col min="12809" max="13056" width="9.140625" style="3"/>
    <col min="13057" max="13057" width="5.7109375" style="3" customWidth="1"/>
    <col min="13058" max="13058" width="59.140625" style="3" customWidth="1"/>
    <col min="13059" max="13059" width="8.42578125" style="3" customWidth="1"/>
    <col min="13060" max="13060" width="13.42578125" style="3" customWidth="1"/>
    <col min="13061" max="13061" width="8.28515625" style="3" customWidth="1"/>
    <col min="13062" max="13062" width="14.7109375" style="3" customWidth="1"/>
    <col min="13063" max="13063" width="0" style="3" hidden="1" customWidth="1"/>
    <col min="13064" max="13064" width="12.7109375" style="3" customWidth="1"/>
    <col min="13065" max="13312" width="9.140625" style="3"/>
    <col min="13313" max="13313" width="5.7109375" style="3" customWidth="1"/>
    <col min="13314" max="13314" width="59.140625" style="3" customWidth="1"/>
    <col min="13315" max="13315" width="8.42578125" style="3" customWidth="1"/>
    <col min="13316" max="13316" width="13.42578125" style="3" customWidth="1"/>
    <col min="13317" max="13317" width="8.28515625" style="3" customWidth="1"/>
    <col min="13318" max="13318" width="14.7109375" style="3" customWidth="1"/>
    <col min="13319" max="13319" width="0" style="3" hidden="1" customWidth="1"/>
    <col min="13320" max="13320" width="12.7109375" style="3" customWidth="1"/>
    <col min="13321" max="13568" width="9.140625" style="3"/>
    <col min="13569" max="13569" width="5.7109375" style="3" customWidth="1"/>
    <col min="13570" max="13570" width="59.140625" style="3" customWidth="1"/>
    <col min="13571" max="13571" width="8.42578125" style="3" customWidth="1"/>
    <col min="13572" max="13572" width="13.42578125" style="3" customWidth="1"/>
    <col min="13573" max="13573" width="8.28515625" style="3" customWidth="1"/>
    <col min="13574" max="13574" width="14.7109375" style="3" customWidth="1"/>
    <col min="13575" max="13575" width="0" style="3" hidden="1" customWidth="1"/>
    <col min="13576" max="13576" width="12.7109375" style="3" customWidth="1"/>
    <col min="13577" max="13824" width="9.140625" style="3"/>
    <col min="13825" max="13825" width="5.7109375" style="3" customWidth="1"/>
    <col min="13826" max="13826" width="59.140625" style="3" customWidth="1"/>
    <col min="13827" max="13827" width="8.42578125" style="3" customWidth="1"/>
    <col min="13828" max="13828" width="13.42578125" style="3" customWidth="1"/>
    <col min="13829" max="13829" width="8.28515625" style="3" customWidth="1"/>
    <col min="13830" max="13830" width="14.7109375" style="3" customWidth="1"/>
    <col min="13831" max="13831" width="0" style="3" hidden="1" customWidth="1"/>
    <col min="13832" max="13832" width="12.7109375" style="3" customWidth="1"/>
    <col min="13833" max="14080" width="9.140625" style="3"/>
    <col min="14081" max="14081" width="5.7109375" style="3" customWidth="1"/>
    <col min="14082" max="14082" width="59.140625" style="3" customWidth="1"/>
    <col min="14083" max="14083" width="8.42578125" style="3" customWidth="1"/>
    <col min="14084" max="14084" width="13.42578125" style="3" customWidth="1"/>
    <col min="14085" max="14085" width="8.28515625" style="3" customWidth="1"/>
    <col min="14086" max="14086" width="14.7109375" style="3" customWidth="1"/>
    <col min="14087" max="14087" width="0" style="3" hidden="1" customWidth="1"/>
    <col min="14088" max="14088" width="12.7109375" style="3" customWidth="1"/>
    <col min="14089" max="14336" width="9.140625" style="3"/>
    <col min="14337" max="14337" width="5.7109375" style="3" customWidth="1"/>
    <col min="14338" max="14338" width="59.140625" style="3" customWidth="1"/>
    <col min="14339" max="14339" width="8.42578125" style="3" customWidth="1"/>
    <col min="14340" max="14340" width="13.42578125" style="3" customWidth="1"/>
    <col min="14341" max="14341" width="8.28515625" style="3" customWidth="1"/>
    <col min="14342" max="14342" width="14.7109375" style="3" customWidth="1"/>
    <col min="14343" max="14343" width="0" style="3" hidden="1" customWidth="1"/>
    <col min="14344" max="14344" width="12.7109375" style="3" customWidth="1"/>
    <col min="14345" max="14592" width="9.140625" style="3"/>
    <col min="14593" max="14593" width="5.7109375" style="3" customWidth="1"/>
    <col min="14594" max="14594" width="59.140625" style="3" customWidth="1"/>
    <col min="14595" max="14595" width="8.42578125" style="3" customWidth="1"/>
    <col min="14596" max="14596" width="13.42578125" style="3" customWidth="1"/>
    <col min="14597" max="14597" width="8.28515625" style="3" customWidth="1"/>
    <col min="14598" max="14598" width="14.7109375" style="3" customWidth="1"/>
    <col min="14599" max="14599" width="0" style="3" hidden="1" customWidth="1"/>
    <col min="14600" max="14600" width="12.7109375" style="3" customWidth="1"/>
    <col min="14601" max="14848" width="9.140625" style="3"/>
    <col min="14849" max="14849" width="5.7109375" style="3" customWidth="1"/>
    <col min="14850" max="14850" width="59.140625" style="3" customWidth="1"/>
    <col min="14851" max="14851" width="8.42578125" style="3" customWidth="1"/>
    <col min="14852" max="14852" width="13.42578125" style="3" customWidth="1"/>
    <col min="14853" max="14853" width="8.28515625" style="3" customWidth="1"/>
    <col min="14854" max="14854" width="14.7109375" style="3" customWidth="1"/>
    <col min="14855" max="14855" width="0" style="3" hidden="1" customWidth="1"/>
    <col min="14856" max="14856" width="12.7109375" style="3" customWidth="1"/>
    <col min="14857" max="15104" width="9.140625" style="3"/>
    <col min="15105" max="15105" width="5.7109375" style="3" customWidth="1"/>
    <col min="15106" max="15106" width="59.140625" style="3" customWidth="1"/>
    <col min="15107" max="15107" width="8.42578125" style="3" customWidth="1"/>
    <col min="15108" max="15108" width="13.42578125" style="3" customWidth="1"/>
    <col min="15109" max="15109" width="8.28515625" style="3" customWidth="1"/>
    <col min="15110" max="15110" width="14.7109375" style="3" customWidth="1"/>
    <col min="15111" max="15111" width="0" style="3" hidden="1" customWidth="1"/>
    <col min="15112" max="15112" width="12.7109375" style="3" customWidth="1"/>
    <col min="15113" max="15360" width="9.140625" style="3"/>
    <col min="15361" max="15361" width="5.7109375" style="3" customWidth="1"/>
    <col min="15362" max="15362" width="59.140625" style="3" customWidth="1"/>
    <col min="15363" max="15363" width="8.42578125" style="3" customWidth="1"/>
    <col min="15364" max="15364" width="13.42578125" style="3" customWidth="1"/>
    <col min="15365" max="15365" width="8.28515625" style="3" customWidth="1"/>
    <col min="15366" max="15366" width="14.7109375" style="3" customWidth="1"/>
    <col min="15367" max="15367" width="0" style="3" hidden="1" customWidth="1"/>
    <col min="15368" max="15368" width="12.7109375" style="3" customWidth="1"/>
    <col min="15369" max="15616" width="9.140625" style="3"/>
    <col min="15617" max="15617" width="5.7109375" style="3" customWidth="1"/>
    <col min="15618" max="15618" width="59.140625" style="3" customWidth="1"/>
    <col min="15619" max="15619" width="8.42578125" style="3" customWidth="1"/>
    <col min="15620" max="15620" width="13.42578125" style="3" customWidth="1"/>
    <col min="15621" max="15621" width="8.28515625" style="3" customWidth="1"/>
    <col min="15622" max="15622" width="14.7109375" style="3" customWidth="1"/>
    <col min="15623" max="15623" width="0" style="3" hidden="1" customWidth="1"/>
    <col min="15624" max="15624" width="12.7109375" style="3" customWidth="1"/>
    <col min="15625" max="15872" width="9.140625" style="3"/>
    <col min="15873" max="15873" width="5.7109375" style="3" customWidth="1"/>
    <col min="15874" max="15874" width="59.140625" style="3" customWidth="1"/>
    <col min="15875" max="15875" width="8.42578125" style="3" customWidth="1"/>
    <col min="15876" max="15876" width="13.42578125" style="3" customWidth="1"/>
    <col min="15877" max="15877" width="8.28515625" style="3" customWidth="1"/>
    <col min="15878" max="15878" width="14.7109375" style="3" customWidth="1"/>
    <col min="15879" max="15879" width="0" style="3" hidden="1" customWidth="1"/>
    <col min="15880" max="15880" width="12.7109375" style="3" customWidth="1"/>
    <col min="15881" max="16128" width="9.140625" style="3"/>
    <col min="16129" max="16129" width="5.7109375" style="3" customWidth="1"/>
    <col min="16130" max="16130" width="59.140625" style="3" customWidth="1"/>
    <col min="16131" max="16131" width="8.42578125" style="3" customWidth="1"/>
    <col min="16132" max="16132" width="13.42578125" style="3" customWidth="1"/>
    <col min="16133" max="16133" width="8.28515625" style="3" customWidth="1"/>
    <col min="16134" max="16134" width="14.7109375" style="3" customWidth="1"/>
    <col min="16135" max="16135" width="0" style="3" hidden="1" customWidth="1"/>
    <col min="16136" max="16136" width="12.7109375" style="3" customWidth="1"/>
    <col min="16137" max="16384" width="9.140625" style="3"/>
  </cols>
  <sheetData>
    <row r="1" spans="1:13" ht="20.25" customHeight="1" x14ac:dyDescent="0.25">
      <c r="A1" s="1"/>
      <c r="B1" s="2"/>
      <c r="C1" s="2"/>
      <c r="E1" s="4" t="s">
        <v>0</v>
      </c>
      <c r="G1" s="2"/>
      <c r="H1" s="2"/>
      <c r="I1" s="2"/>
    </row>
    <row r="2" spans="1:13" ht="15" customHeight="1" x14ac:dyDescent="0.25">
      <c r="A2" s="2"/>
      <c r="B2" s="2"/>
      <c r="C2" s="2"/>
      <c r="E2" s="2" t="s">
        <v>1</v>
      </c>
      <c r="F2" s="2"/>
      <c r="G2" s="2"/>
      <c r="H2" s="2"/>
    </row>
    <row r="3" spans="1:13" ht="45.75" customHeight="1" x14ac:dyDescent="0.25">
      <c r="A3" s="2"/>
      <c r="B3" s="2"/>
      <c r="C3" s="2"/>
      <c r="E3" s="708" t="s">
        <v>2</v>
      </c>
      <c r="F3" s="708"/>
      <c r="G3" s="708"/>
      <c r="H3" s="708"/>
    </row>
    <row r="4" spans="1:13" ht="25.5" customHeight="1" x14ac:dyDescent="0.2">
      <c r="A4" s="2"/>
      <c r="B4" s="2"/>
      <c r="C4" s="2"/>
      <c r="E4" s="5" t="s">
        <v>3</v>
      </c>
      <c r="G4" s="2"/>
      <c r="H4" s="2"/>
      <c r="I4" s="2"/>
    </row>
    <row r="5" spans="1:13" ht="20.25" customHeight="1" x14ac:dyDescent="0.25">
      <c r="A5" s="2"/>
      <c r="B5" s="2"/>
      <c r="C5" s="2"/>
      <c r="E5" s="2" t="s">
        <v>4</v>
      </c>
      <c r="G5" s="2"/>
      <c r="H5" s="2"/>
      <c r="I5" s="2"/>
    </row>
    <row r="6" spans="1:13" ht="6.75" customHeight="1" x14ac:dyDescent="0.25">
      <c r="A6" s="2"/>
      <c r="B6" s="2"/>
      <c r="C6" s="6"/>
    </row>
    <row r="7" spans="1:13" s="7" customFormat="1" ht="20.25" customHeight="1" x14ac:dyDescent="0.25">
      <c r="A7" s="709" t="s">
        <v>5</v>
      </c>
      <c r="B7" s="709"/>
      <c r="C7" s="709"/>
      <c r="D7" s="709"/>
      <c r="E7" s="709"/>
      <c r="F7" s="709"/>
      <c r="G7" s="709"/>
      <c r="H7" s="709"/>
      <c r="I7" s="709"/>
    </row>
    <row r="8" spans="1:13" ht="24.75" customHeight="1" x14ac:dyDescent="0.25">
      <c r="A8" s="710" t="s">
        <v>6</v>
      </c>
      <c r="B8" s="710"/>
      <c r="C8" s="710"/>
      <c r="D8" s="710"/>
      <c r="E8" s="710"/>
      <c r="F8" s="710"/>
      <c r="G8" s="710"/>
      <c r="H8" s="710"/>
      <c r="I8" s="710"/>
    </row>
    <row r="9" spans="1:13" ht="20.25" customHeight="1" x14ac:dyDescent="0.25">
      <c r="A9" s="710" t="s">
        <v>7</v>
      </c>
      <c r="B9" s="710"/>
      <c r="C9" s="710"/>
      <c r="D9" s="710"/>
      <c r="E9" s="710"/>
      <c r="F9" s="710"/>
      <c r="G9" s="710"/>
      <c r="H9" s="710"/>
      <c r="I9" s="710"/>
    </row>
    <row r="10" spans="1:13" ht="20.25" customHeight="1" x14ac:dyDescent="0.25">
      <c r="A10" s="710" t="s">
        <v>8</v>
      </c>
      <c r="B10" s="710"/>
      <c r="C10" s="710"/>
      <c r="D10" s="710"/>
      <c r="E10" s="710"/>
      <c r="F10" s="710"/>
      <c r="G10" s="710"/>
      <c r="H10" s="710"/>
      <c r="I10" s="710"/>
    </row>
    <row r="11" spans="1:13" ht="20.25" customHeight="1" thickBot="1" x14ac:dyDescent="0.3">
      <c r="A11" s="8"/>
      <c r="B11" s="8"/>
      <c r="C11" s="8"/>
      <c r="F11" s="9" t="s">
        <v>9</v>
      </c>
      <c r="G11" s="10"/>
      <c r="H11" s="10"/>
    </row>
    <row r="12" spans="1:13" ht="69.75" customHeight="1" x14ac:dyDescent="0.25">
      <c r="A12" s="702" t="s">
        <v>10</v>
      </c>
      <c r="B12" s="704" t="s">
        <v>11</v>
      </c>
      <c r="C12" s="706" t="s">
        <v>12</v>
      </c>
      <c r="D12" s="691" t="s">
        <v>13</v>
      </c>
      <c r="E12" s="693"/>
      <c r="F12" s="704" t="s">
        <v>14</v>
      </c>
      <c r="G12" s="691" t="s">
        <v>15</v>
      </c>
      <c r="H12" s="692"/>
      <c r="I12" s="693"/>
      <c r="J12" s="694" t="s">
        <v>16</v>
      </c>
      <c r="K12" s="695"/>
      <c r="L12" s="695"/>
    </row>
    <row r="13" spans="1:13" s="17" customFormat="1" ht="96.75" customHeight="1" thickBot="1" x14ac:dyDescent="0.3">
      <c r="A13" s="703"/>
      <c r="B13" s="705"/>
      <c r="C13" s="707"/>
      <c r="D13" s="11" t="s">
        <v>17</v>
      </c>
      <c r="E13" s="12" t="s">
        <v>18</v>
      </c>
      <c r="F13" s="705"/>
      <c r="G13" s="11" t="s">
        <v>19</v>
      </c>
      <c r="H13" s="11" t="s">
        <v>17</v>
      </c>
      <c r="I13" s="12" t="s">
        <v>18</v>
      </c>
      <c r="J13" s="13">
        <v>10</v>
      </c>
      <c r="K13" s="14">
        <v>20</v>
      </c>
      <c r="L13" s="15" t="s">
        <v>20</v>
      </c>
      <c r="M13" s="16"/>
    </row>
    <row r="14" spans="1:13" s="17" customFormat="1" ht="23.25" customHeight="1" thickBot="1" x14ac:dyDescent="0.3">
      <c r="A14" s="696" t="s">
        <v>21</v>
      </c>
      <c r="B14" s="697"/>
      <c r="C14" s="697"/>
      <c r="D14" s="697"/>
      <c r="E14" s="697"/>
      <c r="F14" s="697"/>
      <c r="G14" s="697"/>
      <c r="H14" s="697"/>
      <c r="I14" s="698"/>
      <c r="J14" s="13"/>
      <c r="K14" s="14"/>
      <c r="L14" s="15"/>
      <c r="M14" s="16"/>
    </row>
    <row r="15" spans="1:13" s="20" customFormat="1" ht="18" customHeight="1" thickBot="1" x14ac:dyDescent="0.3">
      <c r="A15" s="696" t="s">
        <v>22</v>
      </c>
      <c r="B15" s="697"/>
      <c r="C15" s="697"/>
      <c r="D15" s="697"/>
      <c r="E15" s="697"/>
      <c r="F15" s="697"/>
      <c r="G15" s="697"/>
      <c r="H15" s="697"/>
      <c r="I15" s="698"/>
      <c r="J15" s="18"/>
      <c r="K15" s="19"/>
      <c r="L15" s="19"/>
    </row>
    <row r="16" spans="1:13" s="32" customFormat="1" ht="33" customHeight="1" x14ac:dyDescent="0.25">
      <c r="A16" s="21" t="s">
        <v>23</v>
      </c>
      <c r="B16" s="22" t="str">
        <f>'[1]1 Массаж головы'!A13</f>
        <v>Массаж головы (лобно-височной и затылочно-теменной области)</v>
      </c>
      <c r="C16" s="23" t="s">
        <v>24</v>
      </c>
      <c r="D16" s="24">
        <f>'[1]1 Массаж головы'!G28</f>
        <v>6.01</v>
      </c>
      <c r="E16" s="25" t="s">
        <v>25</v>
      </c>
      <c r="F16" s="26">
        <f>'[1]1 Массаж головы'!P30</f>
        <v>0.22</v>
      </c>
      <c r="G16" s="27">
        <f>'[1]1р'!M30</f>
        <v>0</v>
      </c>
      <c r="H16" s="28">
        <f>'[1]1р'!G28</f>
        <v>9.1199999999999992</v>
      </c>
      <c r="I16" s="29" t="s">
        <v>25</v>
      </c>
      <c r="J16" s="30">
        <v>0</v>
      </c>
      <c r="K16" s="31">
        <f>0.22*$K$13/120</f>
        <v>3.6666666666666667E-2</v>
      </c>
      <c r="L16" s="31">
        <f>J16+K16</f>
        <v>3.6666666666666667E-2</v>
      </c>
    </row>
    <row r="17" spans="1:12" s="32" customFormat="1" ht="32.25" customHeight="1" x14ac:dyDescent="0.25">
      <c r="A17" s="33" t="s">
        <v>26</v>
      </c>
      <c r="B17" s="34" t="str">
        <f>'[1]2 Массаж лица'!A13</f>
        <v>Массаж лица (лобной, окологлазничной, верхне-и нижнечелюстной области)</v>
      </c>
      <c r="C17" s="35" t="str">
        <f>$C$16</f>
        <v>процедура</v>
      </c>
      <c r="D17" s="36">
        <f>'[1]2 Массаж лица'!G28</f>
        <v>6.01</v>
      </c>
      <c r="E17" s="37" t="s">
        <v>25</v>
      </c>
      <c r="F17" s="38">
        <f>'[1]2 Массаж лица'!P30</f>
        <v>0.22</v>
      </c>
      <c r="G17" s="39">
        <f>'[1]2р'!M30</f>
        <v>0</v>
      </c>
      <c r="H17" s="40">
        <f>'[1]2р'!G28</f>
        <v>9.1199999999999992</v>
      </c>
      <c r="I17" s="41" t="s">
        <v>25</v>
      </c>
      <c r="J17" s="30">
        <v>0</v>
      </c>
      <c r="K17" s="31">
        <f t="shared" ref="K17:K39" si="0">0.22*$K$13/120</f>
        <v>3.6666666666666667E-2</v>
      </c>
      <c r="L17" s="31">
        <f t="shared" ref="L17:L39" si="1">J17+K17</f>
        <v>3.6666666666666667E-2</v>
      </c>
    </row>
    <row r="18" spans="1:12" s="32" customFormat="1" ht="22.5" x14ac:dyDescent="0.25">
      <c r="A18" s="42" t="s">
        <v>27</v>
      </c>
      <c r="B18" s="34" t="str">
        <f>'[1]3 Массаж шеи'!A13</f>
        <v>Массаж шеи</v>
      </c>
      <c r="C18" s="35" t="str">
        <f t="shared" ref="C18:C39" si="2">$C$16</f>
        <v>процедура</v>
      </c>
      <c r="D18" s="36">
        <f>'[1]3 Массаж шеи'!G28</f>
        <v>6.01</v>
      </c>
      <c r="E18" s="37" t="s">
        <v>25</v>
      </c>
      <c r="F18" s="38">
        <f>'[1]3 Массаж шеи'!P30</f>
        <v>0.22</v>
      </c>
      <c r="G18" s="39">
        <f>'[1]3р'!M30</f>
        <v>0</v>
      </c>
      <c r="H18" s="40">
        <f>'[1]3р'!G28</f>
        <v>9.1199999999999992</v>
      </c>
      <c r="I18" s="41" t="s">
        <v>25</v>
      </c>
      <c r="J18" s="30">
        <v>0</v>
      </c>
      <c r="K18" s="31">
        <f t="shared" si="0"/>
        <v>3.6666666666666667E-2</v>
      </c>
      <c r="L18" s="31">
        <f t="shared" si="1"/>
        <v>3.6666666666666667E-2</v>
      </c>
    </row>
    <row r="19" spans="1:12" s="32" customFormat="1" ht="45" x14ac:dyDescent="0.25">
      <c r="A19" s="33" t="s">
        <v>28</v>
      </c>
      <c r="B19" s="34" t="str">
        <f>'[1]4 Массаж ворота'!A13</f>
        <v>Массаж воротниковой зоны (задней поверхности шеи, спины до уровня IV грудного позвонка, передней поверхности грудной клетки до 2-го ребра)</v>
      </c>
      <c r="C19" s="35" t="str">
        <f t="shared" si="2"/>
        <v>процедура</v>
      </c>
      <c r="D19" s="36">
        <f>'[1]4 Массаж ворота'!G28</f>
        <v>8.0500000000000007</v>
      </c>
      <c r="E19" s="37" t="s">
        <v>25</v>
      </c>
      <c r="F19" s="38">
        <f>'[1]4 Массаж ворота'!P30</f>
        <v>0.22</v>
      </c>
      <c r="G19" s="39">
        <f>'[1]4р'!$G$29</f>
        <v>320.98</v>
      </c>
      <c r="H19" s="40">
        <f>'[1]4р'!G28</f>
        <v>12.07</v>
      </c>
      <c r="I19" s="41" t="s">
        <v>25</v>
      </c>
      <c r="J19" s="30">
        <v>0</v>
      </c>
      <c r="K19" s="31">
        <f t="shared" si="0"/>
        <v>3.6666666666666667E-2</v>
      </c>
      <c r="L19" s="31">
        <f t="shared" si="1"/>
        <v>3.6666666666666667E-2</v>
      </c>
    </row>
    <row r="20" spans="1:12" s="32" customFormat="1" ht="22.5" x14ac:dyDescent="0.25">
      <c r="A20" s="42" t="s">
        <v>29</v>
      </c>
      <c r="B20" s="34" t="str">
        <f>'[1]5 Массаж рук'!A13</f>
        <v>Массаж верхней конечности</v>
      </c>
      <c r="C20" s="35" t="str">
        <f t="shared" si="2"/>
        <v>процедура</v>
      </c>
      <c r="D20" s="36">
        <f>'[1]5 Массаж рук'!G28</f>
        <v>8.0500000000000007</v>
      </c>
      <c r="E20" s="37" t="s">
        <v>25</v>
      </c>
      <c r="F20" s="38">
        <f>'[1]5 Массаж рук'!P30</f>
        <v>0.22</v>
      </c>
      <c r="G20" s="39">
        <f>'[1]5р'!$G$29</f>
        <v>320.98</v>
      </c>
      <c r="H20" s="40">
        <f>'[1]5р'!G28</f>
        <v>12.07</v>
      </c>
      <c r="I20" s="41" t="s">
        <v>25</v>
      </c>
      <c r="J20" s="30">
        <v>0</v>
      </c>
      <c r="K20" s="31">
        <f t="shared" si="0"/>
        <v>3.6666666666666667E-2</v>
      </c>
      <c r="L20" s="31">
        <f t="shared" si="1"/>
        <v>3.6666666666666667E-2</v>
      </c>
    </row>
    <row r="21" spans="1:12" s="32" customFormat="1" ht="30" x14ac:dyDescent="0.25">
      <c r="A21" s="33" t="s">
        <v>30</v>
      </c>
      <c r="B21" s="34" t="str">
        <f>'[1]6 Массаж лопатки'!A13</f>
        <v>Массаж верхней конечности, надплечья и области лопатки</v>
      </c>
      <c r="C21" s="35" t="str">
        <f t="shared" si="2"/>
        <v>процедура</v>
      </c>
      <c r="D21" s="36">
        <f>'[1]6 Массаж лопатки'!G28</f>
        <v>9.99</v>
      </c>
      <c r="E21" s="37" t="s">
        <v>25</v>
      </c>
      <c r="F21" s="38">
        <f>'[1]6 Массаж лопатки'!P30</f>
        <v>0.22</v>
      </c>
      <c r="G21" s="39">
        <f>'[1]6р'!$G$29</f>
        <v>403.41</v>
      </c>
      <c r="H21" s="40">
        <f>'[1]6р'!G28</f>
        <v>15.17</v>
      </c>
      <c r="I21" s="41" t="s">
        <v>25</v>
      </c>
      <c r="J21" s="30">
        <v>0</v>
      </c>
      <c r="K21" s="31">
        <f t="shared" si="0"/>
        <v>3.6666666666666667E-2</v>
      </c>
      <c r="L21" s="31">
        <f t="shared" si="1"/>
        <v>3.6666666666666667E-2</v>
      </c>
    </row>
    <row r="22" spans="1:12" s="32" customFormat="1" ht="45" x14ac:dyDescent="0.25">
      <c r="A22" s="42" t="s">
        <v>31</v>
      </c>
      <c r="B22" s="34" t="str">
        <f>'[1]7 Массаж плеча'!A13</f>
        <v>Массаж плечевого сустава (верхней трети плеча, области плечевого сустава и надплечья одноименной стороны)</v>
      </c>
      <c r="C22" s="35" t="str">
        <f t="shared" si="2"/>
        <v>процедура</v>
      </c>
      <c r="D22" s="36">
        <f>'[1]7 Массаж плеча'!G28</f>
        <v>6.01</v>
      </c>
      <c r="E22" s="37" t="s">
        <v>25</v>
      </c>
      <c r="F22" s="38">
        <f>'[1]7 Массаж плеча'!P30</f>
        <v>0.22</v>
      </c>
      <c r="G22" s="39">
        <f>'[1]7р'!$G$29</f>
        <v>242.53</v>
      </c>
      <c r="H22" s="40">
        <f>'[1]7р'!G28</f>
        <v>9.1199999999999992</v>
      </c>
      <c r="I22" s="41" t="s">
        <v>25</v>
      </c>
      <c r="J22" s="30">
        <v>0</v>
      </c>
      <c r="K22" s="31">
        <f t="shared" si="0"/>
        <v>3.6666666666666667E-2</v>
      </c>
      <c r="L22" s="31">
        <f t="shared" si="1"/>
        <v>3.6666666666666667E-2</v>
      </c>
    </row>
    <row r="23" spans="1:12" s="32" customFormat="1" ht="45" x14ac:dyDescent="0.25">
      <c r="A23" s="33" t="s">
        <v>32</v>
      </c>
      <c r="B23" s="43" t="str">
        <f>'[1]8 Массаж локтя'!A13</f>
        <v>Массаж локтевого сустава (верхней трети предплечья, области локтевого сустава и нижней трети плеча)</v>
      </c>
      <c r="C23" s="35" t="str">
        <f t="shared" si="2"/>
        <v>процедура</v>
      </c>
      <c r="D23" s="36">
        <f>'[1]8 Массаж локтя'!G28</f>
        <v>6.01</v>
      </c>
      <c r="E23" s="37" t="s">
        <v>25</v>
      </c>
      <c r="F23" s="38">
        <f>'[1]8 Массаж локтя'!P30</f>
        <v>0.22</v>
      </c>
      <c r="G23" s="39">
        <f>'[1]8р'!$G$29</f>
        <v>242.53</v>
      </c>
      <c r="H23" s="40">
        <f>'[1]8р'!G28</f>
        <v>9.1199999999999992</v>
      </c>
      <c r="I23" s="41" t="s">
        <v>25</v>
      </c>
      <c r="J23" s="30">
        <v>0</v>
      </c>
      <c r="K23" s="31">
        <f t="shared" si="0"/>
        <v>3.6666666666666667E-2</v>
      </c>
      <c r="L23" s="31">
        <f t="shared" si="1"/>
        <v>3.6666666666666667E-2</v>
      </c>
    </row>
    <row r="24" spans="1:12" s="32" customFormat="1" ht="45" x14ac:dyDescent="0.25">
      <c r="A24" s="42" t="s">
        <v>33</v>
      </c>
      <c r="B24" s="34" t="str">
        <f>'[1]9 Массаж лучезапястия'!A13</f>
        <v>Массаж лучезапястного сустава (проксимального отдела кисти, области лучезапястного сустава и предплечья)</v>
      </c>
      <c r="C24" s="35" t="str">
        <f t="shared" si="2"/>
        <v>процедура</v>
      </c>
      <c r="D24" s="36">
        <f>'[1]9 Массаж лучезапястия'!G28</f>
        <v>6.01</v>
      </c>
      <c r="E24" s="37" t="s">
        <v>25</v>
      </c>
      <c r="F24" s="38">
        <f>'[1]9 Массаж лучезапястия'!P30</f>
        <v>0.22</v>
      </c>
      <c r="G24" s="39">
        <f>'[1]9р'!$G$29</f>
        <v>242.53</v>
      </c>
      <c r="H24" s="40">
        <f>'[1]9р'!G28</f>
        <v>9.1199999999999992</v>
      </c>
      <c r="I24" s="41" t="s">
        <v>25</v>
      </c>
      <c r="J24" s="30">
        <v>0</v>
      </c>
      <c r="K24" s="31">
        <f t="shared" si="0"/>
        <v>3.6666666666666667E-2</v>
      </c>
      <c r="L24" s="31">
        <f t="shared" si="1"/>
        <v>3.6666666666666667E-2</v>
      </c>
    </row>
    <row r="25" spans="1:12" s="32" customFormat="1" ht="22.5" x14ac:dyDescent="0.25">
      <c r="A25" s="33" t="s">
        <v>34</v>
      </c>
      <c r="B25" s="34" t="str">
        <f>'[1]10 Массаж кисти'!A13</f>
        <v>Массаж кисти и предплечья</v>
      </c>
      <c r="C25" s="35" t="str">
        <f t="shared" si="2"/>
        <v>процедура</v>
      </c>
      <c r="D25" s="36">
        <f>'[1]10 Массаж кисти'!G28</f>
        <v>6.01</v>
      </c>
      <c r="E25" s="37" t="s">
        <v>25</v>
      </c>
      <c r="F25" s="38">
        <f>'[1]10 Массаж кисти'!P30</f>
        <v>0.22</v>
      </c>
      <c r="G25" s="39">
        <f>'[1]10р'!$G$29</f>
        <v>242.53</v>
      </c>
      <c r="H25" s="40">
        <f>'[1]10р'!G28</f>
        <v>9.1199999999999992</v>
      </c>
      <c r="I25" s="41" t="s">
        <v>25</v>
      </c>
      <c r="J25" s="30">
        <v>0</v>
      </c>
      <c r="K25" s="31">
        <f t="shared" si="0"/>
        <v>3.6666666666666667E-2</v>
      </c>
      <c r="L25" s="31">
        <f t="shared" si="1"/>
        <v>3.6666666666666667E-2</v>
      </c>
    </row>
    <row r="26" spans="1:12" s="32" customFormat="1" ht="61.5" customHeight="1" x14ac:dyDescent="0.25">
      <c r="A26" s="42" t="s">
        <v>35</v>
      </c>
      <c r="B26" s="44" t="str">
        <f>'[1]11 Массаж груди'!A13</f>
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</c>
      <c r="C26" s="35" t="str">
        <f t="shared" si="2"/>
        <v>процедура</v>
      </c>
      <c r="D26" s="36">
        <f>'[1]11 Массаж груди'!G28</f>
        <v>11.72</v>
      </c>
      <c r="E26" s="37" t="s">
        <v>25</v>
      </c>
      <c r="F26" s="38">
        <f>'[1]11 Массаж груди'!P30</f>
        <v>0.22</v>
      </c>
      <c r="G26" s="39">
        <f>'[1]11р'!$G$29</f>
        <v>485.85</v>
      </c>
      <c r="H26" s="40">
        <f>'[1]11р'!G28</f>
        <v>18.27</v>
      </c>
      <c r="I26" s="41" t="s">
        <v>25</v>
      </c>
      <c r="J26" s="30">
        <v>0</v>
      </c>
      <c r="K26" s="31">
        <f t="shared" si="0"/>
        <v>3.6666666666666667E-2</v>
      </c>
      <c r="L26" s="31">
        <f t="shared" si="1"/>
        <v>3.6666666666666667E-2</v>
      </c>
    </row>
    <row r="27" spans="1:12" s="32" customFormat="1" ht="60.75" customHeight="1" x14ac:dyDescent="0.25">
      <c r="A27" s="33" t="s">
        <v>36</v>
      </c>
      <c r="B27" s="34" t="str">
        <f>'[1]12 Массаж спины'!A13</f>
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</c>
      <c r="C27" s="35" t="str">
        <f t="shared" si="2"/>
        <v>процедура</v>
      </c>
      <c r="D27" s="36">
        <f>'[1]12 Массаж спины'!G28</f>
        <v>8.0500000000000007</v>
      </c>
      <c r="E27" s="37" t="s">
        <v>25</v>
      </c>
      <c r="F27" s="38">
        <f>'[1]12 Массаж спины'!P30</f>
        <v>0.22</v>
      </c>
      <c r="G27" s="39">
        <f>'[1]12р'!$G$29</f>
        <v>320.98</v>
      </c>
      <c r="H27" s="40">
        <f>'[1]12р'!G28</f>
        <v>12.07</v>
      </c>
      <c r="I27" s="41" t="s">
        <v>25</v>
      </c>
      <c r="J27" s="30">
        <v>0</v>
      </c>
      <c r="K27" s="31">
        <f t="shared" si="0"/>
        <v>3.6666666666666667E-2</v>
      </c>
      <c r="L27" s="31">
        <f t="shared" si="1"/>
        <v>3.6666666666666667E-2</v>
      </c>
    </row>
    <row r="28" spans="1:12" s="32" customFormat="1" ht="22.5" x14ac:dyDescent="0.25">
      <c r="A28" s="42" t="s">
        <v>37</v>
      </c>
      <c r="B28" s="34" t="str">
        <f>'[1]13 Массаж брюшины'!A13</f>
        <v>Массаж мышц передней брюшной стенки</v>
      </c>
      <c r="C28" s="35" t="str">
        <f t="shared" si="2"/>
        <v>процедура</v>
      </c>
      <c r="D28" s="36">
        <f>'[1]13 Массаж брюшины'!G28</f>
        <v>6.01</v>
      </c>
      <c r="E28" s="37" t="s">
        <v>25</v>
      </c>
      <c r="F28" s="38">
        <f>'[1]13 Массаж брюшины'!P30</f>
        <v>0.22</v>
      </c>
      <c r="G28" s="39">
        <f>'[1]13р'!$G$29</f>
        <v>242.53</v>
      </c>
      <c r="H28" s="40">
        <f>'[1]13р'!G28</f>
        <v>9.1199999999999992</v>
      </c>
      <c r="I28" s="41" t="s">
        <v>25</v>
      </c>
      <c r="J28" s="30">
        <v>0</v>
      </c>
      <c r="K28" s="31">
        <f t="shared" si="0"/>
        <v>3.6666666666666667E-2</v>
      </c>
      <c r="L28" s="31">
        <f t="shared" si="1"/>
        <v>3.6666666666666667E-2</v>
      </c>
    </row>
    <row r="29" spans="1:12" s="32" customFormat="1" ht="34.700000000000003" customHeight="1" x14ac:dyDescent="0.25">
      <c r="A29" s="33" t="s">
        <v>38</v>
      </c>
      <c r="B29" s="34" t="str">
        <f>'[1]14 Массаж поясницы'!A13</f>
        <v>Массаж пояснично-крестцовой области (от  I поясничного позвонка до нижних ягодичных складок)</v>
      </c>
      <c r="C29" s="35" t="str">
        <f t="shared" si="2"/>
        <v>процедура</v>
      </c>
      <c r="D29" s="36">
        <f>'[1]14 Массаж поясницы'!G28</f>
        <v>6.01</v>
      </c>
      <c r="E29" s="37" t="s">
        <v>25</v>
      </c>
      <c r="F29" s="38">
        <f>'[1]14 Массаж поясницы'!P30</f>
        <v>0.22</v>
      </c>
      <c r="G29" s="39">
        <f>'[1]14р'!$G$29</f>
        <v>242.53</v>
      </c>
      <c r="H29" s="40">
        <f>'[1]14р'!G28</f>
        <v>9.1199999999999992</v>
      </c>
      <c r="I29" s="41" t="s">
        <v>25</v>
      </c>
      <c r="J29" s="30">
        <v>0</v>
      </c>
      <c r="K29" s="31">
        <f t="shared" si="0"/>
        <v>3.6666666666666667E-2</v>
      </c>
      <c r="L29" s="31">
        <f t="shared" si="1"/>
        <v>3.6666666666666667E-2</v>
      </c>
    </row>
    <row r="30" spans="1:12" s="32" customFormat="1" ht="46.5" customHeight="1" x14ac:dyDescent="0.25">
      <c r="A30" s="42" t="s">
        <v>39</v>
      </c>
      <c r="B30" s="34" t="str">
        <f>'[1]15 Массаж спины и поясницы'!A13</f>
        <v>Массаж спины и поясницы (от VII шейного позвонка до крестца и от левой до правой средней аксиллярной линии)</v>
      </c>
      <c r="C30" s="35" t="str">
        <f t="shared" si="2"/>
        <v>процедура</v>
      </c>
      <c r="D30" s="36">
        <f>'[1]15 Массаж спины и поясницы'!G28</f>
        <v>9.99</v>
      </c>
      <c r="E30" s="37" t="s">
        <v>25</v>
      </c>
      <c r="F30" s="38">
        <f>'[1]15 Массаж спины и поясницы'!P30</f>
        <v>0.22</v>
      </c>
      <c r="G30" s="39">
        <f>'[1]15р'!$G$29</f>
        <v>403.41</v>
      </c>
      <c r="H30" s="40">
        <f>'[1]15р'!G28</f>
        <v>15.17</v>
      </c>
      <c r="I30" s="41" t="s">
        <v>25</v>
      </c>
      <c r="J30" s="30">
        <v>0</v>
      </c>
      <c r="K30" s="31">
        <f t="shared" si="0"/>
        <v>3.6666666666666667E-2</v>
      </c>
      <c r="L30" s="31">
        <f t="shared" si="1"/>
        <v>3.6666666666666667E-2</v>
      </c>
    </row>
    <row r="31" spans="1:12" s="32" customFormat="1" ht="65.25" customHeight="1" x14ac:dyDescent="0.25">
      <c r="A31" s="33" t="s">
        <v>40</v>
      </c>
      <c r="B31" s="34" t="str">
        <f>'[1]16 Массаж шей-груд от.позв'!A13</f>
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</c>
      <c r="C31" s="35" t="str">
        <f t="shared" si="2"/>
        <v>процедура</v>
      </c>
      <c r="D31" s="36">
        <f>'[1]16 Массаж шей-груд от.позв'!G28</f>
        <v>9.99</v>
      </c>
      <c r="E31" s="37" t="s">
        <v>25</v>
      </c>
      <c r="F31" s="38">
        <f>'[1]16 Массаж шей-груд от.позв'!P30</f>
        <v>0.22</v>
      </c>
      <c r="G31" s="39">
        <f>'[1]16р'!$G$29</f>
        <v>403.41</v>
      </c>
      <c r="H31" s="40">
        <f>'[1]16р'!G28</f>
        <v>15.17</v>
      </c>
      <c r="I31" s="41" t="s">
        <v>25</v>
      </c>
      <c r="J31" s="30">
        <v>0</v>
      </c>
      <c r="K31" s="31">
        <f t="shared" si="0"/>
        <v>3.6666666666666667E-2</v>
      </c>
      <c r="L31" s="31">
        <f t="shared" si="1"/>
        <v>3.6666666666666667E-2</v>
      </c>
    </row>
    <row r="32" spans="1:12" s="32" customFormat="1" ht="49.5" customHeight="1" x14ac:dyDescent="0.25">
      <c r="A32" s="42" t="s">
        <v>41</v>
      </c>
      <c r="B32" s="34" t="str">
        <f>'[1]17 Массаж позвоноч'!A13</f>
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</c>
      <c r="C32" s="35" t="str">
        <f t="shared" si="2"/>
        <v>процедура</v>
      </c>
      <c r="D32" s="36">
        <f>'[1]17 Массаж позвоноч'!G28</f>
        <v>11.72</v>
      </c>
      <c r="E32" s="37" t="s">
        <v>25</v>
      </c>
      <c r="F32" s="38">
        <f>'[1]17 Массаж позвоноч'!P30</f>
        <v>0.22</v>
      </c>
      <c r="G32" s="39">
        <f>'[1]17р'!$G$29</f>
        <v>485.85</v>
      </c>
      <c r="H32" s="40">
        <f>'[1]17р'!G28</f>
        <v>18.27</v>
      </c>
      <c r="I32" s="41" t="s">
        <v>25</v>
      </c>
      <c r="J32" s="30">
        <v>0</v>
      </c>
      <c r="K32" s="31">
        <f t="shared" si="0"/>
        <v>3.6666666666666667E-2</v>
      </c>
      <c r="L32" s="31">
        <f t="shared" si="1"/>
        <v>3.6666666666666667E-2</v>
      </c>
    </row>
    <row r="33" spans="1:12" s="32" customFormat="1" ht="22.5" x14ac:dyDescent="0.25">
      <c r="A33" s="33" t="s">
        <v>42</v>
      </c>
      <c r="B33" s="34" t="str">
        <f>'[1]18 Массаж ног'!A13</f>
        <v>Массаж нижней конечности</v>
      </c>
      <c r="C33" s="35" t="str">
        <f t="shared" si="2"/>
        <v>процедура</v>
      </c>
      <c r="D33" s="36">
        <f>'[1]18 Массаж ног'!G28</f>
        <v>8.0500000000000007</v>
      </c>
      <c r="E33" s="37" t="s">
        <v>25</v>
      </c>
      <c r="F33" s="38">
        <f>'[1]18 Массаж ног'!P30</f>
        <v>0.22</v>
      </c>
      <c r="G33" s="39">
        <f>'[1]18р'!$G$29</f>
        <v>320.98</v>
      </c>
      <c r="H33" s="40">
        <f>'[1]18р'!G28</f>
        <v>12.07</v>
      </c>
      <c r="I33" s="41" t="s">
        <v>25</v>
      </c>
      <c r="J33" s="30">
        <v>0</v>
      </c>
      <c r="K33" s="31">
        <f t="shared" si="0"/>
        <v>3.6666666666666667E-2</v>
      </c>
      <c r="L33" s="31">
        <f t="shared" si="1"/>
        <v>3.6666666666666667E-2</v>
      </c>
    </row>
    <row r="34" spans="1:12" s="32" customFormat="1" ht="45" x14ac:dyDescent="0.25">
      <c r="A34" s="42" t="s">
        <v>43</v>
      </c>
      <c r="B34" s="34" t="str">
        <f>'[1]19 Массаж ног и поясницы4'!A13</f>
        <v>Массаж нижней конечности и поясницы (области стопы, голени, бедра, ягодичной и пояснично-крестцовой области)</v>
      </c>
      <c r="C34" s="35" t="str">
        <f t="shared" si="2"/>
        <v>процедура</v>
      </c>
      <c r="D34" s="36">
        <f>'[1]19 Массаж ног и поясницы4'!G28</f>
        <v>9.99</v>
      </c>
      <c r="E34" s="37" t="s">
        <v>25</v>
      </c>
      <c r="F34" s="38">
        <f>'[1]19 Массаж ног и поясницы4'!P30</f>
        <v>0.22</v>
      </c>
      <c r="G34" s="39">
        <f>'[1]19р'!$G$29</f>
        <v>403.41</v>
      </c>
      <c r="H34" s="40">
        <f>'[1]19р'!G28</f>
        <v>15.17</v>
      </c>
      <c r="I34" s="41" t="s">
        <v>25</v>
      </c>
      <c r="J34" s="30">
        <v>0</v>
      </c>
      <c r="K34" s="31">
        <f t="shared" si="0"/>
        <v>3.6666666666666667E-2</v>
      </c>
      <c r="L34" s="31">
        <f t="shared" si="1"/>
        <v>3.6666666666666667E-2</v>
      </c>
    </row>
    <row r="35" spans="1:12" s="32" customFormat="1" ht="45" x14ac:dyDescent="0.25">
      <c r="A35" s="33" t="s">
        <v>44</v>
      </c>
      <c r="B35" s="34" t="str">
        <f>'[1]20 Массаж тазобедрен сус'!A13</f>
        <v>Массаж тазобедренного сустава (верхней трети бедра, области тазобедренного сустава и ягодичной области одноименной стороны)</v>
      </c>
      <c r="C35" s="35" t="str">
        <f t="shared" si="2"/>
        <v>процедура</v>
      </c>
      <c r="D35" s="36">
        <f>'[1]20 Массаж тазобедрен сус'!G28</f>
        <v>6.01</v>
      </c>
      <c r="E35" s="37" t="s">
        <v>25</v>
      </c>
      <c r="F35" s="38">
        <f>'[1]20 Массаж тазобедрен сус'!P30</f>
        <v>0.22</v>
      </c>
      <c r="G35" s="39">
        <f>'[1]20р'!$G$29</f>
        <v>242.53</v>
      </c>
      <c r="H35" s="40">
        <f>'[1]20р'!G28</f>
        <v>9.1199999999999992</v>
      </c>
      <c r="I35" s="41" t="s">
        <v>25</v>
      </c>
      <c r="J35" s="30">
        <v>0</v>
      </c>
      <c r="K35" s="31">
        <f t="shared" si="0"/>
        <v>3.6666666666666667E-2</v>
      </c>
      <c r="L35" s="31">
        <f t="shared" si="1"/>
        <v>3.6666666666666667E-2</v>
      </c>
    </row>
    <row r="36" spans="1:12" s="32" customFormat="1" ht="36" customHeight="1" x14ac:dyDescent="0.25">
      <c r="A36" s="42" t="s">
        <v>45</v>
      </c>
      <c r="B36" s="34" t="str">
        <f>'[1]21 Массаж колена'!A13</f>
        <v>Массаж коленного сустава (верхней трети голени, области коленного сустава и нижней трети бедра)</v>
      </c>
      <c r="C36" s="35" t="str">
        <f t="shared" si="2"/>
        <v>процедура</v>
      </c>
      <c r="D36" s="36">
        <f>'[1]21 Массаж колена'!G28</f>
        <v>6.01</v>
      </c>
      <c r="E36" s="37" t="s">
        <v>25</v>
      </c>
      <c r="F36" s="38">
        <f>'[1]21 Массаж колена'!P30</f>
        <v>0.22</v>
      </c>
      <c r="G36" s="39">
        <f>'[1]21р'!$G$29</f>
        <v>242.53</v>
      </c>
      <c r="H36" s="40">
        <f>'[1]21р'!G28</f>
        <v>9.1199999999999992</v>
      </c>
      <c r="I36" s="41" t="s">
        <v>25</v>
      </c>
      <c r="J36" s="30">
        <v>0</v>
      </c>
      <c r="K36" s="31">
        <f t="shared" si="0"/>
        <v>3.6666666666666667E-2</v>
      </c>
      <c r="L36" s="31">
        <f t="shared" si="1"/>
        <v>3.6666666666666667E-2</v>
      </c>
    </row>
    <row r="37" spans="1:12" s="32" customFormat="1" ht="48" customHeight="1" x14ac:dyDescent="0.25">
      <c r="A37" s="33" t="s">
        <v>46</v>
      </c>
      <c r="B37" s="34" t="str">
        <f>'[1]22 Массаж голеностопа'!A13</f>
        <v>Массаж голеностопного сустава (проксимального отдела стопы, области голеностопного сустава и нижней трети голени)</v>
      </c>
      <c r="C37" s="35" t="str">
        <f t="shared" si="2"/>
        <v>процедура</v>
      </c>
      <c r="D37" s="36">
        <f>'[1]22 Массаж голеностопа'!G28</f>
        <v>6.01</v>
      </c>
      <c r="E37" s="37" t="s">
        <v>25</v>
      </c>
      <c r="F37" s="38">
        <f>'[1]22 Массаж голеностопа'!P30</f>
        <v>0.22</v>
      </c>
      <c r="G37" s="39">
        <f>'[1]22р'!$G$29</f>
        <v>242.53</v>
      </c>
      <c r="H37" s="40">
        <f>'[1]22р'!G28</f>
        <v>9.1199999999999992</v>
      </c>
      <c r="I37" s="41" t="s">
        <v>25</v>
      </c>
      <c r="J37" s="30">
        <v>0</v>
      </c>
      <c r="K37" s="31">
        <f t="shared" si="0"/>
        <v>3.6666666666666667E-2</v>
      </c>
      <c r="L37" s="31">
        <f t="shared" si="1"/>
        <v>3.6666666666666667E-2</v>
      </c>
    </row>
    <row r="38" spans="1:12" s="32" customFormat="1" ht="24" customHeight="1" x14ac:dyDescent="0.25">
      <c r="A38" s="42" t="s">
        <v>47</v>
      </c>
      <c r="B38" s="45" t="str">
        <f>'[1]23 Массаж стопы'!A13</f>
        <v>Массаж стопы голени</v>
      </c>
      <c r="C38" s="35" t="str">
        <f t="shared" si="2"/>
        <v>процедура</v>
      </c>
      <c r="D38" s="36">
        <f>'[1]23 Массаж стопы'!G28</f>
        <v>6.01</v>
      </c>
      <c r="E38" s="37" t="s">
        <v>25</v>
      </c>
      <c r="F38" s="38">
        <f>'[1]23 Массаж стопы'!P30</f>
        <v>0.22</v>
      </c>
      <c r="G38" s="39">
        <f>'[1]23р'!$G$29</f>
        <v>242.53</v>
      </c>
      <c r="H38" s="40">
        <f>'[1]23р'!G28</f>
        <v>9.1199999999999992</v>
      </c>
      <c r="I38" s="41" t="s">
        <v>25</v>
      </c>
      <c r="J38" s="30">
        <v>0</v>
      </c>
      <c r="K38" s="31">
        <f t="shared" si="0"/>
        <v>3.6666666666666667E-2</v>
      </c>
      <c r="L38" s="31">
        <f t="shared" si="1"/>
        <v>3.6666666666666667E-2</v>
      </c>
    </row>
    <row r="39" spans="1:12" s="32" customFormat="1" ht="35.25" customHeight="1" x14ac:dyDescent="0.25">
      <c r="A39" s="33" t="s">
        <v>48</v>
      </c>
      <c r="B39" s="45" t="str">
        <f>'[1]24 Общий детский массаж'!A13</f>
        <v>Общий массаж (у детей грудного и младшего дошкольного возраста)</v>
      </c>
      <c r="C39" s="35" t="str">
        <f t="shared" si="2"/>
        <v>процедура</v>
      </c>
      <c r="D39" s="36">
        <f>'[1]24 Общий детский массаж'!G28</f>
        <v>13.41</v>
      </c>
      <c r="E39" s="37" t="s">
        <v>25</v>
      </c>
      <c r="F39" s="38">
        <f>'[1]24 Общий детский массаж'!P30</f>
        <v>0.22</v>
      </c>
      <c r="G39" s="39">
        <f>'[1]24р'!M30</f>
        <v>0</v>
      </c>
      <c r="H39" s="40">
        <f>'[1]24р'!G28</f>
        <v>21.11</v>
      </c>
      <c r="I39" s="41" t="s">
        <v>25</v>
      </c>
      <c r="J39" s="30">
        <v>0</v>
      </c>
      <c r="K39" s="31">
        <f t="shared" si="0"/>
        <v>3.6666666666666667E-2</v>
      </c>
      <c r="L39" s="31">
        <f t="shared" si="1"/>
        <v>3.6666666666666667E-2</v>
      </c>
    </row>
    <row r="40" spans="1:12" s="32" customFormat="1" ht="35.25" customHeight="1" thickBot="1" x14ac:dyDescent="0.3">
      <c r="A40" s="46"/>
      <c r="B40" s="47"/>
      <c r="C40" s="48"/>
      <c r="D40" s="49"/>
      <c r="E40" s="50"/>
      <c r="F40" s="51"/>
      <c r="G40" s="52"/>
      <c r="H40" s="53"/>
      <c r="I40" s="54"/>
      <c r="J40" s="55"/>
      <c r="K40" s="55"/>
      <c r="L40" s="55"/>
    </row>
    <row r="41" spans="1:12" ht="23.25" customHeight="1" thickBot="1" x14ac:dyDescent="0.3">
      <c r="A41" s="699" t="s">
        <v>49</v>
      </c>
      <c r="B41" s="700"/>
      <c r="C41" s="700"/>
      <c r="D41" s="700"/>
      <c r="E41" s="700"/>
      <c r="F41" s="700"/>
      <c r="G41" s="700"/>
      <c r="H41" s="700"/>
      <c r="I41" s="701"/>
    </row>
    <row r="42" spans="1:12" ht="24" customHeight="1" x14ac:dyDescent="0.25">
      <c r="A42" s="56" t="str">
        <f>[2]Прейскурант!$A$16</f>
        <v xml:space="preserve"> 2.1</v>
      </c>
      <c r="B42" s="57" t="str">
        <f>[2]Прейскурант!$B$16</f>
        <v>Вакуумный массаж шеи</v>
      </c>
      <c r="C42" s="58" t="str">
        <f>[2]Прейскурант!$C$16</f>
        <v>процедура</v>
      </c>
      <c r="D42" s="59">
        <f>'[1]25 шея'!G28</f>
        <v>5.3</v>
      </c>
      <c r="E42" s="60" t="s">
        <v>25</v>
      </c>
      <c r="F42" s="61">
        <f>'[1]25 шея'!P30</f>
        <v>0.22</v>
      </c>
      <c r="G42" s="62"/>
      <c r="H42" s="63">
        <f>'[1]25р шея'!G28</f>
        <v>6.75</v>
      </c>
      <c r="I42" s="60" t="s">
        <v>25</v>
      </c>
      <c r="J42" s="64">
        <v>0</v>
      </c>
      <c r="K42" s="65">
        <f>0.22*$K$13/120</f>
        <v>3.6666666666666667E-2</v>
      </c>
      <c r="L42" s="65">
        <f>J42+K42</f>
        <v>3.6666666666666667E-2</v>
      </c>
    </row>
    <row r="43" spans="1:12" ht="24" customHeight="1" x14ac:dyDescent="0.25">
      <c r="A43" s="66" t="str">
        <f>[2]Прейскурант!$A$17</f>
        <v xml:space="preserve"> 2.2</v>
      </c>
      <c r="B43" s="67" t="str">
        <f>[2]Прейскурант!$B$17</f>
        <v>Вакуумный массаж воротниковой зоны</v>
      </c>
      <c r="C43" s="68" t="str">
        <f>[2]Прейскурант!$C$16</f>
        <v>процедура</v>
      </c>
      <c r="D43" s="69">
        <f>'[1]26 вор.зона'!G28</f>
        <v>6.93</v>
      </c>
      <c r="E43" s="37" t="s">
        <v>25</v>
      </c>
      <c r="F43" s="70">
        <f>'[1]26 вор.зона'!P30</f>
        <v>0.22</v>
      </c>
      <c r="G43" s="71"/>
      <c r="H43" s="72">
        <f>'[1]26р вор.зона'!G28</f>
        <v>8.82</v>
      </c>
      <c r="I43" s="37" t="s">
        <v>25</v>
      </c>
      <c r="J43" s="64">
        <v>0</v>
      </c>
      <c r="K43" s="65">
        <f t="shared" ref="K43:K55" si="3">0.22*$K$13/120</f>
        <v>3.6666666666666667E-2</v>
      </c>
      <c r="L43" s="65">
        <f t="shared" ref="L43:L55" si="4">J43+K43</f>
        <v>3.6666666666666667E-2</v>
      </c>
    </row>
    <row r="44" spans="1:12" ht="24" customHeight="1" x14ac:dyDescent="0.25">
      <c r="A44" s="66" t="str">
        <f>[2]Прейскурант!$A$18</f>
        <v xml:space="preserve"> 2.3</v>
      </c>
      <c r="B44" s="67" t="str">
        <f>[2]Прейскурант!$B$18</f>
        <v>Вакуумный массаж плечевого сустава</v>
      </c>
      <c r="C44" s="68" t="str">
        <f>[2]Прейскурант!$C$16</f>
        <v>процедура</v>
      </c>
      <c r="D44" s="69">
        <f>'[1]27 плечо'!G28</f>
        <v>5.3</v>
      </c>
      <c r="E44" s="37" t="s">
        <v>25</v>
      </c>
      <c r="F44" s="70">
        <f>'[1]27 плечо'!P30</f>
        <v>0.22</v>
      </c>
      <c r="G44" s="71"/>
      <c r="H44" s="72">
        <f>'[1]27р плечо'!G28</f>
        <v>6.75</v>
      </c>
      <c r="I44" s="37" t="s">
        <v>25</v>
      </c>
      <c r="J44" s="64">
        <v>0</v>
      </c>
      <c r="K44" s="65">
        <f t="shared" si="3"/>
        <v>3.6666666666666667E-2</v>
      </c>
      <c r="L44" s="65">
        <f t="shared" si="4"/>
        <v>3.6666666666666667E-2</v>
      </c>
    </row>
    <row r="45" spans="1:12" ht="24" customHeight="1" x14ac:dyDescent="0.25">
      <c r="A45" s="66" t="str">
        <f>[2]Прейскурант!$A$19</f>
        <v xml:space="preserve"> 2.4</v>
      </c>
      <c r="B45" s="67" t="str">
        <f>[2]Прейскурант!$B$19</f>
        <v>Вакуумный массаж межлопаточной области</v>
      </c>
      <c r="C45" s="68" t="str">
        <f>[2]Прейскурант!$C$16</f>
        <v>процедура</v>
      </c>
      <c r="D45" s="69">
        <f>'[1]28 межлоп.'!G28</f>
        <v>5.3</v>
      </c>
      <c r="E45" s="37" t="s">
        <v>25</v>
      </c>
      <c r="F45" s="70">
        <f>'[1]28 межлоп.'!P30</f>
        <v>0.22</v>
      </c>
      <c r="G45" s="71"/>
      <c r="H45" s="72">
        <f>'[1]28р межлоп.'!G28</f>
        <v>6.75</v>
      </c>
      <c r="I45" s="37" t="s">
        <v>25</v>
      </c>
      <c r="J45" s="64">
        <v>0</v>
      </c>
      <c r="K45" s="65">
        <f t="shared" si="3"/>
        <v>3.6666666666666667E-2</v>
      </c>
      <c r="L45" s="65">
        <f t="shared" si="4"/>
        <v>3.6666666666666667E-2</v>
      </c>
    </row>
    <row r="46" spans="1:12" ht="24" customHeight="1" x14ac:dyDescent="0.25">
      <c r="A46" s="66" t="str">
        <f>[2]Прейскурант!$A$20</f>
        <v xml:space="preserve"> 2.5</v>
      </c>
      <c r="B46" s="67" t="str">
        <f>[2]Прейскурант!$B$20</f>
        <v>Вакуумный массаж верхней конечности</v>
      </c>
      <c r="C46" s="68" t="str">
        <f>[2]Прейскурант!$C$16</f>
        <v>процедура</v>
      </c>
      <c r="D46" s="69">
        <f>'[1]29 вер.кон.'!G28</f>
        <v>6.93</v>
      </c>
      <c r="E46" s="37" t="s">
        <v>25</v>
      </c>
      <c r="F46" s="70">
        <f>'[1]29 вер.кон.'!P30</f>
        <v>0.22</v>
      </c>
      <c r="G46" s="71"/>
      <c r="H46" s="72">
        <f>'[1]29р вер.кон.'!G28</f>
        <v>8.82</v>
      </c>
      <c r="I46" s="37" t="s">
        <v>25</v>
      </c>
      <c r="J46" s="64">
        <v>0</v>
      </c>
      <c r="K46" s="65">
        <f t="shared" si="3"/>
        <v>3.6666666666666667E-2</v>
      </c>
      <c r="L46" s="65">
        <f t="shared" si="4"/>
        <v>3.6666666666666667E-2</v>
      </c>
    </row>
    <row r="47" spans="1:12" ht="24" customHeight="1" x14ac:dyDescent="0.25">
      <c r="A47" s="66" t="str">
        <f>[2]Прейскурант!$A$21</f>
        <v xml:space="preserve"> 2.6</v>
      </c>
      <c r="B47" s="67" t="str">
        <f>[2]Прейскурант!$B$21</f>
        <v>Вакуумный массаж области грудной клетки</v>
      </c>
      <c r="C47" s="68" t="str">
        <f>[2]Прейскурант!$C$16</f>
        <v>процедура</v>
      </c>
      <c r="D47" s="69">
        <f>'[1]30 гру.клет'!G28</f>
        <v>6.93</v>
      </c>
      <c r="E47" s="37" t="s">
        <v>25</v>
      </c>
      <c r="F47" s="70">
        <f>'[1]30 гру.клет'!P30</f>
        <v>0.22</v>
      </c>
      <c r="G47" s="71"/>
      <c r="H47" s="72">
        <f>'[1]30р груд.кл.'!G28</f>
        <v>8.82</v>
      </c>
      <c r="I47" s="37" t="s">
        <v>25</v>
      </c>
      <c r="J47" s="64">
        <v>0</v>
      </c>
      <c r="K47" s="65">
        <f t="shared" si="3"/>
        <v>3.6666666666666667E-2</v>
      </c>
      <c r="L47" s="65">
        <f t="shared" si="4"/>
        <v>3.6666666666666667E-2</v>
      </c>
    </row>
    <row r="48" spans="1:12" ht="24" customHeight="1" x14ac:dyDescent="0.25">
      <c r="A48" s="66" t="str">
        <f>[2]Прейскурант!$A$22</f>
        <v xml:space="preserve"> 2.7</v>
      </c>
      <c r="B48" s="67" t="str">
        <f>[2]Прейскурант!$B$22</f>
        <v>Вакуумный массаж спины</v>
      </c>
      <c r="C48" s="68" t="str">
        <f>[2]Прейскурант!$C$16</f>
        <v>процедура</v>
      </c>
      <c r="D48" s="69">
        <f>'[1]31 спина'!G28</f>
        <v>6.93</v>
      </c>
      <c r="E48" s="37" t="s">
        <v>25</v>
      </c>
      <c r="F48" s="70">
        <f>'[1]31 спина'!P30</f>
        <v>0.22</v>
      </c>
      <c r="G48" s="71"/>
      <c r="H48" s="72">
        <f>'[1]31р спина'!G28</f>
        <v>8.82</v>
      </c>
      <c r="I48" s="37" t="s">
        <v>25</v>
      </c>
      <c r="J48" s="64">
        <v>0</v>
      </c>
      <c r="K48" s="65">
        <f t="shared" si="3"/>
        <v>3.6666666666666667E-2</v>
      </c>
      <c r="L48" s="65">
        <f t="shared" si="4"/>
        <v>3.6666666666666667E-2</v>
      </c>
    </row>
    <row r="49" spans="1:12" ht="24" customHeight="1" x14ac:dyDescent="0.25">
      <c r="A49" s="66" t="str">
        <f>[2]Прейскурант!$A$23</f>
        <v xml:space="preserve"> 2.8</v>
      </c>
      <c r="B49" s="73" t="str">
        <f>[2]Прейскурант!$B$23</f>
        <v>Вакуумный массаж области живота</v>
      </c>
      <c r="C49" s="68" t="str">
        <f>[2]Прейскурант!$C$16</f>
        <v>процедура</v>
      </c>
      <c r="D49" s="69">
        <f>'[1]32 живот'!G28</f>
        <v>5.3</v>
      </c>
      <c r="E49" s="37" t="s">
        <v>25</v>
      </c>
      <c r="F49" s="70">
        <f>'[1]32 живот'!P30</f>
        <v>0.22</v>
      </c>
      <c r="G49" s="71"/>
      <c r="H49" s="72">
        <f>'[1]32р живот'!G28</f>
        <v>6.75</v>
      </c>
      <c r="I49" s="37" t="s">
        <v>25</v>
      </c>
      <c r="J49" s="64">
        <v>0</v>
      </c>
      <c r="K49" s="65">
        <f t="shared" si="3"/>
        <v>3.6666666666666667E-2</v>
      </c>
      <c r="L49" s="65">
        <f t="shared" si="4"/>
        <v>3.6666666666666667E-2</v>
      </c>
    </row>
    <row r="50" spans="1:12" ht="24" customHeight="1" x14ac:dyDescent="0.25">
      <c r="A50" s="66" t="str">
        <f>[2]Прейскурант!$A$24</f>
        <v xml:space="preserve"> 2.9</v>
      </c>
      <c r="B50" s="67" t="str">
        <f>[2]Прейскурант!$B$24</f>
        <v>Вакуумный массаж области позвоночника</v>
      </c>
      <c r="C50" s="68" t="str">
        <f>[2]Прейскурант!$C$16</f>
        <v>процедура</v>
      </c>
      <c r="D50" s="69">
        <f>'[1]33 обл.поз.'!G28</f>
        <v>6.93</v>
      </c>
      <c r="E50" s="37" t="s">
        <v>25</v>
      </c>
      <c r="F50" s="70">
        <f>'[1]33 обл.поз.'!P30</f>
        <v>0.22</v>
      </c>
      <c r="G50" s="71"/>
      <c r="H50" s="72">
        <f>'[1]33р обл.поз'!G28</f>
        <v>8.82</v>
      </c>
      <c r="I50" s="37" t="s">
        <v>25</v>
      </c>
      <c r="J50" s="64">
        <v>0</v>
      </c>
      <c r="K50" s="65">
        <f t="shared" si="3"/>
        <v>3.6666666666666667E-2</v>
      </c>
      <c r="L50" s="65">
        <f t="shared" si="4"/>
        <v>3.6666666666666667E-2</v>
      </c>
    </row>
    <row r="51" spans="1:12" ht="24" customHeight="1" x14ac:dyDescent="0.25">
      <c r="A51" s="74" t="s">
        <v>50</v>
      </c>
      <c r="B51" s="67" t="str">
        <f>[2]Прейскурант!$B$25</f>
        <v>Вакуумный массаж грудного отдела позвоночника</v>
      </c>
      <c r="C51" s="68" t="str">
        <f>[2]Прейскурант!$C$16</f>
        <v>процедура</v>
      </c>
      <c r="D51" s="69">
        <f>'[1]34 гр.отдел'!G28</f>
        <v>5.3</v>
      </c>
      <c r="E51" s="37" t="s">
        <v>25</v>
      </c>
      <c r="F51" s="70">
        <f>'[1]34 гр.отдел'!P30</f>
        <v>0.22</v>
      </c>
      <c r="G51" s="71"/>
      <c r="H51" s="72">
        <f>'[1]34р гр.отд.'!G28</f>
        <v>6.75</v>
      </c>
      <c r="I51" s="37" t="s">
        <v>25</v>
      </c>
      <c r="J51" s="64">
        <v>0</v>
      </c>
      <c r="K51" s="65">
        <f t="shared" si="3"/>
        <v>3.6666666666666667E-2</v>
      </c>
      <c r="L51" s="65">
        <f t="shared" si="4"/>
        <v>3.6666666666666667E-2</v>
      </c>
    </row>
    <row r="52" spans="1:12" ht="24" customHeight="1" x14ac:dyDescent="0.25">
      <c r="A52" s="74" t="s">
        <v>51</v>
      </c>
      <c r="B52" s="67" t="str">
        <f>[2]Прейскурант!$B$26</f>
        <v>Вакуумный массаж пояснично-крестцовой области</v>
      </c>
      <c r="C52" s="68" t="str">
        <f>[2]Прейскурант!$C$16</f>
        <v>процедура</v>
      </c>
      <c r="D52" s="69">
        <f>'[1]35 поя-кр.'!G28</f>
        <v>5.3</v>
      </c>
      <c r="E52" s="37" t="s">
        <v>25</v>
      </c>
      <c r="F52" s="70">
        <f>'[1]35 поя-кр.'!P30</f>
        <v>0.22</v>
      </c>
      <c r="G52" s="71"/>
      <c r="H52" s="72">
        <f>'[1]35р поя-кр.'!G28</f>
        <v>6.75</v>
      </c>
      <c r="I52" s="37" t="s">
        <v>25</v>
      </c>
      <c r="J52" s="64">
        <v>0</v>
      </c>
      <c r="K52" s="65">
        <f t="shared" si="3"/>
        <v>3.6666666666666667E-2</v>
      </c>
      <c r="L52" s="65">
        <f t="shared" si="4"/>
        <v>3.6666666666666667E-2</v>
      </c>
    </row>
    <row r="53" spans="1:12" ht="24" customHeight="1" x14ac:dyDescent="0.25">
      <c r="A53" s="74" t="s">
        <v>52</v>
      </c>
      <c r="B53" s="67" t="str">
        <f>[2]Прейскурант!$B$27</f>
        <v>Вакуумный массаж спины и поясницы</v>
      </c>
      <c r="C53" s="68" t="str">
        <f>[2]Прейскурант!$C$16</f>
        <v>процедура</v>
      </c>
      <c r="D53" s="69">
        <f>'[1]36 сп.и поя.'!G28</f>
        <v>6.93</v>
      </c>
      <c r="E53" s="37" t="s">
        <v>25</v>
      </c>
      <c r="F53" s="70">
        <f>'[1]36 сп.и поя.'!P30</f>
        <v>0.22</v>
      </c>
      <c r="G53" s="71"/>
      <c r="H53" s="72">
        <f>'[1]36р сп.и поя'!G28</f>
        <v>8.82</v>
      </c>
      <c r="I53" s="37" t="s">
        <v>25</v>
      </c>
      <c r="J53" s="64">
        <v>0</v>
      </c>
      <c r="K53" s="65">
        <f t="shared" si="3"/>
        <v>3.6666666666666667E-2</v>
      </c>
      <c r="L53" s="65">
        <f t="shared" si="4"/>
        <v>3.6666666666666667E-2</v>
      </c>
    </row>
    <row r="54" spans="1:12" ht="24" customHeight="1" x14ac:dyDescent="0.25">
      <c r="A54" s="74" t="s">
        <v>53</v>
      </c>
      <c r="B54" s="67" t="str">
        <f>[2]Прейскурант!$B$28</f>
        <v>Вакуумный массаж тазобедренного сустава</v>
      </c>
      <c r="C54" s="68" t="str">
        <f>[2]Прейскурант!$C$16</f>
        <v>процедура</v>
      </c>
      <c r="D54" s="69">
        <f>'[1]37 таз.суставы'!G28</f>
        <v>5.3</v>
      </c>
      <c r="E54" s="37" t="s">
        <v>25</v>
      </c>
      <c r="F54" s="70">
        <f>'[1]37 таз.суставы'!P30</f>
        <v>0.22</v>
      </c>
      <c r="G54" s="71"/>
      <c r="H54" s="72">
        <f>'[1]37р таз.суставы'!G28</f>
        <v>6.75</v>
      </c>
      <c r="I54" s="37" t="s">
        <v>25</v>
      </c>
      <c r="J54" s="64">
        <v>0</v>
      </c>
      <c r="K54" s="65">
        <f t="shared" si="3"/>
        <v>3.6666666666666667E-2</v>
      </c>
      <c r="L54" s="65">
        <f t="shared" si="4"/>
        <v>3.6666666666666667E-2</v>
      </c>
    </row>
    <row r="55" spans="1:12" ht="24" customHeight="1" thickBot="1" x14ac:dyDescent="0.3">
      <c r="A55" s="75" t="s">
        <v>54</v>
      </c>
      <c r="B55" s="76" t="str">
        <f>[2]Прейскурант!$B$29</f>
        <v>Вакуумный массаж нижней конечности</v>
      </c>
      <c r="C55" s="77" t="str">
        <f>[2]Прейскурант!$C$16</f>
        <v>процедура</v>
      </c>
      <c r="D55" s="78">
        <f>'[1]38 ниж.кон.'!G28</f>
        <v>6.93</v>
      </c>
      <c r="E55" s="79" t="s">
        <v>25</v>
      </c>
      <c r="F55" s="80">
        <f>'[1]38 ниж.кон.'!P30</f>
        <v>0.22</v>
      </c>
      <c r="G55" s="81"/>
      <c r="H55" s="82">
        <f>'[1]38р ниж.кон.'!G28</f>
        <v>8.82</v>
      </c>
      <c r="I55" s="79" t="s">
        <v>25</v>
      </c>
      <c r="J55" s="64">
        <v>0</v>
      </c>
      <c r="K55" s="65">
        <f t="shared" si="3"/>
        <v>3.6666666666666667E-2</v>
      </c>
      <c r="L55" s="65">
        <f t="shared" si="4"/>
        <v>3.6666666666666667E-2</v>
      </c>
    </row>
    <row r="56" spans="1:12" x14ac:dyDescent="0.25">
      <c r="A56" s="2" t="s">
        <v>55</v>
      </c>
      <c r="B56" s="2"/>
      <c r="C56" s="2"/>
      <c r="G56" s="2"/>
      <c r="H56" s="83" t="s">
        <v>56</v>
      </c>
    </row>
    <row r="57" spans="1:12" x14ac:dyDescent="0.25">
      <c r="A57" s="2"/>
      <c r="B57" s="2"/>
      <c r="C57" s="2"/>
      <c r="G57" s="2"/>
      <c r="H57" s="83"/>
    </row>
    <row r="58" spans="1:12" x14ac:dyDescent="0.25">
      <c r="A58" s="2" t="s">
        <v>57</v>
      </c>
      <c r="B58" s="2"/>
      <c r="C58" s="2"/>
      <c r="G58" s="2"/>
      <c r="H58" s="83" t="s">
        <v>58</v>
      </c>
    </row>
    <row r="59" spans="1:12" x14ac:dyDescent="0.25">
      <c r="A59" s="2"/>
      <c r="B59" s="2"/>
      <c r="C59" s="2"/>
      <c r="G59" s="2"/>
      <c r="H59" s="83"/>
    </row>
    <row r="60" spans="1:12" ht="14.25" customHeight="1" x14ac:dyDescent="0.25">
      <c r="A60" s="2" t="s">
        <v>59</v>
      </c>
      <c r="B60" s="2"/>
      <c r="C60" s="2"/>
      <c r="G60" s="2"/>
      <c r="H60" s="83" t="s">
        <v>60</v>
      </c>
    </row>
    <row r="61" spans="1:12" ht="14.25" customHeight="1" x14ac:dyDescent="0.25">
      <c r="A61" s="2"/>
      <c r="B61" s="2"/>
      <c r="C61" s="2"/>
    </row>
    <row r="62" spans="1:12" hidden="1" x14ac:dyDescent="0.25">
      <c r="A62" s="2" t="s">
        <v>61</v>
      </c>
      <c r="B62" s="2"/>
      <c r="C62" s="2"/>
    </row>
    <row r="63" spans="1:12" ht="17.25" hidden="1" customHeight="1" x14ac:dyDescent="0.25">
      <c r="A63" s="2" t="s">
        <v>62</v>
      </c>
      <c r="B63" s="2"/>
      <c r="C63" s="2"/>
    </row>
    <row r="64" spans="1:12" hidden="1" x14ac:dyDescent="0.25">
      <c r="A64" s="2" t="s">
        <v>63</v>
      </c>
      <c r="B64" s="2"/>
      <c r="C64" s="2"/>
    </row>
    <row r="65" spans="1:3" x14ac:dyDescent="0.25">
      <c r="A65" s="2"/>
      <c r="B65" s="84"/>
      <c r="C65" s="2"/>
    </row>
    <row r="66" spans="1:3" x14ac:dyDescent="0.25">
      <c r="A66" s="2"/>
      <c r="B66" s="84"/>
      <c r="C66" s="2"/>
    </row>
    <row r="67" spans="1:3" x14ac:dyDescent="0.25">
      <c r="A67" s="2"/>
      <c r="B67" s="84"/>
      <c r="C67" s="2"/>
    </row>
    <row r="70" spans="1:3" x14ac:dyDescent="0.25">
      <c r="B70" s="20"/>
    </row>
    <row r="71" spans="1:3" x14ac:dyDescent="0.25">
      <c r="B71" s="20"/>
    </row>
    <row r="72" spans="1:3" x14ac:dyDescent="0.25">
      <c r="B72" s="20"/>
    </row>
  </sheetData>
  <mergeCells count="15">
    <mergeCell ref="E3:H3"/>
    <mergeCell ref="A7:I7"/>
    <mergeCell ref="A8:I8"/>
    <mergeCell ref="A9:I9"/>
    <mergeCell ref="A10:I10"/>
    <mergeCell ref="G12:I12"/>
    <mergeCell ref="J12:L12"/>
    <mergeCell ref="A14:I14"/>
    <mergeCell ref="A15:I15"/>
    <mergeCell ref="A41:I41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P19" sqref="P19"/>
    </sheetView>
  </sheetViews>
  <sheetFormatPr defaultRowHeight="15" x14ac:dyDescent="0.25"/>
  <cols>
    <col min="1" max="1" width="7.5703125" style="3" customWidth="1"/>
    <col min="2" max="2" width="45.140625" style="3" customWidth="1"/>
    <col min="3" max="3" width="9" style="3" customWidth="1"/>
    <col min="4" max="4" width="0" style="3" hidden="1" customWidth="1"/>
    <col min="5" max="5" width="12.42578125" style="3" customWidth="1"/>
    <col min="6" max="6" width="8.140625" style="3" customWidth="1"/>
    <col min="7" max="7" width="9.85546875" style="3" customWidth="1"/>
    <col min="8" max="8" width="0" style="3" hidden="1" customWidth="1"/>
    <col min="9" max="9" width="12.42578125" style="3" customWidth="1"/>
    <col min="10" max="10" width="8.7109375" style="3" customWidth="1"/>
    <col min="11" max="16384" width="9.140625" style="3"/>
  </cols>
  <sheetData>
    <row r="1" spans="1:13" ht="15.75" x14ac:dyDescent="0.25">
      <c r="A1" s="85"/>
      <c r="B1" s="10"/>
      <c r="C1" s="10"/>
      <c r="D1" s="10"/>
      <c r="F1" s="86" t="s">
        <v>0</v>
      </c>
      <c r="G1" s="10"/>
      <c r="H1" s="10"/>
      <c r="I1" s="10"/>
      <c r="J1" s="10"/>
    </row>
    <row r="2" spans="1:13" x14ac:dyDescent="0.25">
      <c r="A2" s="10"/>
      <c r="B2" s="10"/>
      <c r="C2" s="10"/>
      <c r="D2" s="10"/>
      <c r="F2" s="10" t="s">
        <v>1</v>
      </c>
      <c r="G2" s="10"/>
      <c r="H2" s="10"/>
      <c r="I2" s="10"/>
      <c r="J2" s="10"/>
    </row>
    <row r="3" spans="1:13" x14ac:dyDescent="0.25">
      <c r="A3" s="10"/>
      <c r="B3" s="10"/>
      <c r="C3" s="10"/>
      <c r="D3" s="10"/>
      <c r="F3" s="714" t="s">
        <v>159</v>
      </c>
      <c r="G3" s="714"/>
      <c r="H3" s="714"/>
      <c r="I3" s="714"/>
      <c r="J3" s="714"/>
    </row>
    <row r="4" spans="1:13" x14ac:dyDescent="0.25">
      <c r="A4" s="10"/>
      <c r="B4" s="10"/>
      <c r="C4" s="10"/>
      <c r="D4" s="10"/>
      <c r="F4" s="10" t="s">
        <v>87</v>
      </c>
      <c r="G4" s="10"/>
      <c r="H4" s="10"/>
      <c r="I4" s="10"/>
      <c r="J4" s="10"/>
    </row>
    <row r="5" spans="1:13" x14ac:dyDescent="0.25">
      <c r="A5" s="10"/>
      <c r="B5" s="10"/>
      <c r="C5" s="10"/>
      <c r="D5" s="10"/>
      <c r="F5" s="10" t="s">
        <v>219</v>
      </c>
      <c r="G5" s="10"/>
      <c r="H5" s="10"/>
      <c r="I5" s="10"/>
      <c r="J5" s="10"/>
    </row>
    <row r="6" spans="1:13" x14ac:dyDescent="0.25">
      <c r="A6" s="10"/>
      <c r="B6" s="10"/>
      <c r="C6" s="232"/>
      <c r="D6" s="10"/>
      <c r="E6" s="10"/>
      <c r="F6" s="10"/>
      <c r="G6" s="10"/>
      <c r="H6" s="10"/>
      <c r="I6" s="10"/>
      <c r="J6" s="10"/>
    </row>
    <row r="7" spans="1:13" s="7" customFormat="1" ht="15.75" x14ac:dyDescent="0.25">
      <c r="A7" s="715" t="s">
        <v>5</v>
      </c>
      <c r="B7" s="715"/>
      <c r="C7" s="715"/>
      <c r="D7" s="715"/>
      <c r="E7" s="715"/>
      <c r="F7" s="715"/>
      <c r="G7" s="715"/>
      <c r="H7" s="715"/>
      <c r="I7" s="715"/>
      <c r="J7" s="715"/>
    </row>
    <row r="8" spans="1:13" ht="15.75" x14ac:dyDescent="0.25">
      <c r="A8" s="716" t="s">
        <v>6</v>
      </c>
      <c r="B8" s="716"/>
      <c r="C8" s="716"/>
      <c r="D8" s="716"/>
      <c r="E8" s="716"/>
      <c r="F8" s="716"/>
      <c r="G8" s="716"/>
      <c r="H8" s="716"/>
      <c r="I8" s="716"/>
      <c r="J8" s="716"/>
    </row>
    <row r="9" spans="1:13" x14ac:dyDescent="0.25">
      <c r="A9" s="716" t="s">
        <v>7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3" x14ac:dyDescent="0.25">
      <c r="A10" s="716" t="s">
        <v>8</v>
      </c>
      <c r="B10" s="716"/>
      <c r="C10" s="716"/>
      <c r="D10" s="716"/>
      <c r="E10" s="716"/>
      <c r="F10" s="716"/>
      <c r="G10" s="716"/>
      <c r="H10" s="716"/>
      <c r="I10" s="716"/>
      <c r="J10" s="716"/>
    </row>
    <row r="11" spans="1:13" x14ac:dyDescent="0.25">
      <c r="A11" s="89"/>
      <c r="B11" s="89"/>
      <c r="C11" s="89"/>
      <c r="D11" s="10"/>
      <c r="E11" s="10"/>
      <c r="F11" s="10"/>
      <c r="G11" s="10"/>
      <c r="H11" s="10"/>
      <c r="I11" s="10"/>
      <c r="J11" s="10"/>
      <c r="K11" s="10"/>
    </row>
    <row r="12" spans="1:13" ht="16.5" thickBot="1" x14ac:dyDescent="0.3">
      <c r="A12" s="89"/>
      <c r="B12" s="89"/>
      <c r="C12" s="89"/>
      <c r="D12" s="10"/>
      <c r="E12" s="10"/>
      <c r="F12" s="10"/>
      <c r="G12" s="255" t="s">
        <v>220</v>
      </c>
      <c r="H12" s="10"/>
      <c r="I12" s="10"/>
      <c r="J12" s="10"/>
      <c r="K12" s="10"/>
    </row>
    <row r="13" spans="1:13" ht="15.75" thickBot="1" x14ac:dyDescent="0.3">
      <c r="A13" s="717" t="s">
        <v>10</v>
      </c>
      <c r="B13" s="719" t="s">
        <v>11</v>
      </c>
      <c r="C13" s="745" t="s">
        <v>12</v>
      </c>
      <c r="D13" s="256"/>
      <c r="E13" s="721" t="s">
        <v>13</v>
      </c>
      <c r="F13" s="722"/>
      <c r="G13" s="747" t="s">
        <v>14</v>
      </c>
      <c r="H13" s="721" t="s">
        <v>15</v>
      </c>
      <c r="I13" s="744"/>
      <c r="J13" s="722"/>
      <c r="K13" s="694" t="s">
        <v>16</v>
      </c>
      <c r="L13" s="695"/>
      <c r="M13" s="695"/>
    </row>
    <row r="14" spans="1:13" s="17" customFormat="1" ht="75.75" thickBot="1" x14ac:dyDescent="0.3">
      <c r="A14" s="718"/>
      <c r="B14" s="720"/>
      <c r="C14" s="746"/>
      <c r="D14" s="257" t="s">
        <v>19</v>
      </c>
      <c r="E14" s="90" t="s">
        <v>17</v>
      </c>
      <c r="F14" s="91" t="s">
        <v>18</v>
      </c>
      <c r="G14" s="748"/>
      <c r="H14" s="90" t="s">
        <v>19</v>
      </c>
      <c r="I14" s="90" t="s">
        <v>17</v>
      </c>
      <c r="J14" s="91" t="s">
        <v>18</v>
      </c>
      <c r="K14" s="13">
        <v>10</v>
      </c>
      <c r="L14" s="14">
        <v>20</v>
      </c>
      <c r="M14" s="14" t="s">
        <v>70</v>
      </c>
    </row>
    <row r="15" spans="1:13" s="20" customFormat="1" ht="16.5" thickBot="1" x14ac:dyDescent="0.3">
      <c r="A15" s="711" t="s">
        <v>221</v>
      </c>
      <c r="B15" s="712"/>
      <c r="C15" s="712"/>
      <c r="D15" s="712"/>
      <c r="E15" s="712"/>
      <c r="F15" s="712"/>
      <c r="G15" s="712"/>
      <c r="H15" s="712"/>
      <c r="I15" s="712"/>
      <c r="J15" s="713"/>
      <c r="K15" s="619"/>
      <c r="L15" s="246"/>
      <c r="M15" s="246"/>
    </row>
    <row r="16" spans="1:13" s="20" customFormat="1" ht="16.5" thickBot="1" x14ac:dyDescent="0.3">
      <c r="A16" s="620" t="s">
        <v>90</v>
      </c>
      <c r="B16" s="785" t="s">
        <v>222</v>
      </c>
      <c r="C16" s="786"/>
      <c r="D16" s="786"/>
      <c r="E16" s="786"/>
      <c r="F16" s="786"/>
      <c r="G16" s="786"/>
      <c r="H16" s="786"/>
      <c r="I16" s="786"/>
      <c r="J16" s="787"/>
      <c r="K16" s="619"/>
      <c r="L16" s="246"/>
      <c r="M16" s="246"/>
    </row>
    <row r="17" spans="1:13" s="20" customFormat="1" ht="16.5" thickBot="1" x14ac:dyDescent="0.3">
      <c r="A17" s="620" t="s">
        <v>223</v>
      </c>
      <c r="B17" s="782" t="s">
        <v>224</v>
      </c>
      <c r="C17" s="783"/>
      <c r="D17" s="783"/>
      <c r="E17" s="783"/>
      <c r="F17" s="783"/>
      <c r="G17" s="783"/>
      <c r="H17" s="783"/>
      <c r="I17" s="783"/>
      <c r="J17" s="784"/>
      <c r="K17" s="619"/>
      <c r="L17" s="246"/>
      <c r="M17" s="246"/>
    </row>
    <row r="18" spans="1:13" s="20" customFormat="1" ht="29.25" thickBot="1" x14ac:dyDescent="0.3">
      <c r="A18" s="620" t="s">
        <v>225</v>
      </c>
      <c r="B18" s="621" t="str">
        <f>'[14]1 первич. обращ.'!A11</f>
        <v>Стоматологическое обследование при первичном обращении</v>
      </c>
      <c r="C18" s="622" t="s">
        <v>226</v>
      </c>
      <c r="D18" s="623"/>
      <c r="E18" s="278">
        <f>'[14]1 первич. обращ.'!G27</f>
        <v>5.81</v>
      </c>
      <c r="F18" s="624" t="s">
        <v>25</v>
      </c>
      <c r="G18" s="625">
        <f>'[14]1 первич. обращ.'!P31</f>
        <v>0</v>
      </c>
      <c r="H18" s="626"/>
      <c r="I18" s="625">
        <f>'[14]1р первич. обращ.'!G27</f>
        <v>8.0500000000000007</v>
      </c>
      <c r="J18" s="282" t="s">
        <v>25</v>
      </c>
      <c r="K18" s="619"/>
      <c r="L18" s="246"/>
      <c r="M18" s="246"/>
    </row>
    <row r="19" spans="1:13" s="20" customFormat="1" ht="29.25" thickBot="1" x14ac:dyDescent="0.3">
      <c r="A19" s="620" t="s">
        <v>227</v>
      </c>
      <c r="B19" s="627" t="str">
        <f>'[14]2 дин. набл.'!A11</f>
        <v>Динамическое наблюдение в процессе лечения</v>
      </c>
      <c r="C19" s="622" t="s">
        <v>226</v>
      </c>
      <c r="D19" s="623"/>
      <c r="E19" s="278">
        <f>'[14]2 дин. набл.'!G27</f>
        <v>3.02</v>
      </c>
      <c r="F19" s="624" t="s">
        <v>25</v>
      </c>
      <c r="G19" s="625">
        <f>'[14]2 дин. набл.'!P31</f>
        <v>0</v>
      </c>
      <c r="H19" s="626"/>
      <c r="I19" s="625">
        <f>'[14]2р дин.набл.'!G27</f>
        <v>4.0599999999999996</v>
      </c>
      <c r="J19" s="282" t="s">
        <v>25</v>
      </c>
      <c r="K19" s="619"/>
      <c r="L19" s="246"/>
      <c r="M19" s="15"/>
    </row>
    <row r="20" spans="1:13" s="20" customFormat="1" ht="29.25" thickBot="1" x14ac:dyDescent="0.3">
      <c r="A20" s="620" t="s">
        <v>228</v>
      </c>
      <c r="B20" s="621" t="str">
        <f>'[14]3 анализ ден.сним.'!A11</f>
        <v>Анализ дентальных снимков</v>
      </c>
      <c r="C20" s="622" t="s">
        <v>229</v>
      </c>
      <c r="D20" s="623"/>
      <c r="E20" s="278">
        <f>'[14]3 анализ ден.сним.'!G27</f>
        <v>1.37</v>
      </c>
      <c r="F20" s="624" t="s">
        <v>25</v>
      </c>
      <c r="G20" s="625">
        <f>'[14]3 анализ ден.сним.'!P31</f>
        <v>0</v>
      </c>
      <c r="H20" s="626"/>
      <c r="I20" s="625">
        <f>'[14]3р анализ ден.сним.'!G27</f>
        <v>1.92</v>
      </c>
      <c r="J20" s="282" t="s">
        <v>25</v>
      </c>
      <c r="K20" s="619"/>
      <c r="L20" s="246"/>
      <c r="M20" s="246"/>
    </row>
    <row r="21" spans="1:13" s="20" customFormat="1" ht="43.5" thickBot="1" x14ac:dyDescent="0.3">
      <c r="A21" s="620" t="s">
        <v>230</v>
      </c>
      <c r="B21" s="621" t="str">
        <f>'[14]4 анализ визиограмм'!A11</f>
        <v>Анализ визиограмм, панорамных рентгенограмм, ортопантомограмм, телерентгенограмм</v>
      </c>
      <c r="C21" s="622" t="s">
        <v>229</v>
      </c>
      <c r="D21" s="623"/>
      <c r="E21" s="628">
        <f>'[14]4 анализ визиограмм'!G27</f>
        <v>4.41</v>
      </c>
      <c r="F21" s="268" t="s">
        <v>25</v>
      </c>
      <c r="G21" s="325">
        <f>'[14]4 анализ визиограмм'!P31</f>
        <v>0</v>
      </c>
      <c r="H21" s="243"/>
      <c r="I21" s="325">
        <f>'[14]4р анализ визиограмм'!G27</f>
        <v>5.99</v>
      </c>
      <c r="J21" s="244" t="s">
        <v>25</v>
      </c>
      <c r="K21" s="619"/>
      <c r="L21" s="246"/>
      <c r="M21" s="246"/>
    </row>
    <row r="22" spans="1:13" s="20" customFormat="1" ht="16.5" thickBot="1" x14ac:dyDescent="0.3">
      <c r="A22" s="629" t="s">
        <v>231</v>
      </c>
      <c r="B22" s="782" t="s">
        <v>232</v>
      </c>
      <c r="C22" s="783"/>
      <c r="D22" s="783"/>
      <c r="E22" s="783"/>
      <c r="F22" s="783"/>
      <c r="G22" s="783"/>
      <c r="H22" s="783"/>
      <c r="I22" s="783"/>
      <c r="J22" s="784"/>
      <c r="K22" s="619"/>
      <c r="L22" s="246"/>
      <c r="M22" s="246"/>
    </row>
    <row r="23" spans="1:13" s="20" customFormat="1" ht="43.5" thickBot="1" x14ac:dyDescent="0.3">
      <c r="A23" s="620" t="s">
        <v>233</v>
      </c>
      <c r="B23" s="621" t="s">
        <v>234</v>
      </c>
      <c r="C23" s="622" t="s">
        <v>229</v>
      </c>
      <c r="D23" s="623"/>
      <c r="E23" s="278">
        <f>'[14]5 Мотивация '!G27</f>
        <v>3.02</v>
      </c>
      <c r="F23" s="624" t="s">
        <v>25</v>
      </c>
      <c r="G23" s="625">
        <f>'[14]5 Мотивация '!P31</f>
        <v>0</v>
      </c>
      <c r="H23" s="626"/>
      <c r="I23" s="625">
        <f>'[14]5р Мотивация '!G27</f>
        <v>4.0599999999999996</v>
      </c>
      <c r="J23" s="282" t="s">
        <v>25</v>
      </c>
      <c r="K23" s="619"/>
      <c r="L23" s="246"/>
      <c r="M23" s="246"/>
    </row>
    <row r="24" spans="1:13" s="20" customFormat="1" ht="29.25" thickBot="1" x14ac:dyDescent="0.3">
      <c r="A24" s="620" t="s">
        <v>235</v>
      </c>
      <c r="B24" s="621" t="s">
        <v>236</v>
      </c>
      <c r="C24" s="622" t="s">
        <v>237</v>
      </c>
      <c r="D24" s="623"/>
      <c r="E24" s="278">
        <f>'[14]6 Покрытие одного зуба'!G27</f>
        <v>1.23</v>
      </c>
      <c r="F24" s="624" t="s">
        <v>25</v>
      </c>
      <c r="G24" s="625">
        <f>'[14]6 Покрытие одного зуба'!P31</f>
        <v>0.02</v>
      </c>
      <c r="H24" s="626"/>
      <c r="I24" s="625">
        <f>'[14]6р Покрытие одного зуба'!G27</f>
        <v>1.65</v>
      </c>
      <c r="J24" s="282" t="s">
        <v>25</v>
      </c>
      <c r="K24" s="273">
        <f t="shared" ref="K24:K29" si="0">G24*$K$14/110</f>
        <v>1.8181818181818182E-3</v>
      </c>
      <c r="L24" s="247"/>
      <c r="M24" s="247">
        <f>K24+L24</f>
        <v>1.8181818181818182E-3</v>
      </c>
    </row>
    <row r="25" spans="1:13" s="20" customFormat="1" ht="43.5" thickBot="1" x14ac:dyDescent="0.3">
      <c r="A25" s="620" t="s">
        <v>238</v>
      </c>
      <c r="B25" s="621" t="s">
        <v>239</v>
      </c>
      <c r="C25" s="622" t="s">
        <v>237</v>
      </c>
      <c r="D25" s="623"/>
      <c r="E25" s="278">
        <f>'[14]7 Покрытие послед зуба'!G27</f>
        <v>0.78</v>
      </c>
      <c r="F25" s="624" t="s">
        <v>25</v>
      </c>
      <c r="G25" s="625">
        <f>'[14]7 Покрытие послед зуба'!P31</f>
        <v>0.02</v>
      </c>
      <c r="H25" s="626"/>
      <c r="I25" s="625">
        <f>'[14]7р Покрытие послед зуба'!G27</f>
        <v>1.05</v>
      </c>
      <c r="J25" s="282" t="s">
        <v>25</v>
      </c>
      <c r="K25" s="273">
        <f t="shared" si="0"/>
        <v>1.8181818181818182E-3</v>
      </c>
      <c r="L25" s="247"/>
      <c r="M25" s="247">
        <f t="shared" ref="M25:M84" si="1">K25+L25</f>
        <v>1.8181818181818182E-3</v>
      </c>
    </row>
    <row r="26" spans="1:13" s="20" customFormat="1" ht="29.25" thickBot="1" x14ac:dyDescent="0.3">
      <c r="A26" s="620" t="s">
        <v>240</v>
      </c>
      <c r="B26" s="621" t="s">
        <v>241</v>
      </c>
      <c r="C26" s="622" t="s">
        <v>237</v>
      </c>
      <c r="D26" s="623"/>
      <c r="E26" s="278">
        <f>'[14]8 Удаление зубного налета'!G27</f>
        <v>0.78</v>
      </c>
      <c r="F26" s="624" t="s">
        <v>25</v>
      </c>
      <c r="G26" s="625">
        <f>'[14]8 Удаление зубного налета'!P31</f>
        <v>0.73</v>
      </c>
      <c r="H26" s="626"/>
      <c r="I26" s="625">
        <f>'[14]8р Удаление зубного налета'!G27</f>
        <v>1.05</v>
      </c>
      <c r="J26" s="282" t="s">
        <v>25</v>
      </c>
      <c r="K26" s="273">
        <f t="shared" si="0"/>
        <v>6.6363636363636361E-2</v>
      </c>
      <c r="L26" s="247"/>
      <c r="M26" s="247">
        <f t="shared" si="1"/>
        <v>6.6363636363636361E-2</v>
      </c>
    </row>
    <row r="27" spans="1:13" s="20" customFormat="1" ht="43.5" thickBot="1" x14ac:dyDescent="0.3">
      <c r="A27" s="620" t="s">
        <v>242</v>
      </c>
      <c r="B27" s="621" t="s">
        <v>243</v>
      </c>
      <c r="C27" s="622" t="s">
        <v>237</v>
      </c>
      <c r="D27" s="623"/>
      <c r="E27" s="278">
        <f>'[14]9 Инструм.удаление'!G27</f>
        <v>1.69</v>
      </c>
      <c r="F27" s="624" t="s">
        <v>25</v>
      </c>
      <c r="G27" s="625">
        <f>'[14]9 Инструм.удаление'!P31</f>
        <v>0.02</v>
      </c>
      <c r="H27" s="626"/>
      <c r="I27" s="625">
        <f>'[14]9р Инструм.удаление'!G27</f>
        <v>2.3199999999999998</v>
      </c>
      <c r="J27" s="282" t="s">
        <v>25</v>
      </c>
      <c r="K27" s="273">
        <f t="shared" si="0"/>
        <v>1.8181818181818182E-3</v>
      </c>
      <c r="L27" s="247"/>
      <c r="M27" s="247">
        <f t="shared" si="1"/>
        <v>1.8181818181818182E-3</v>
      </c>
    </row>
    <row r="28" spans="1:13" s="20" customFormat="1" ht="29.25" thickBot="1" x14ac:dyDescent="0.3">
      <c r="A28" s="620" t="s">
        <v>244</v>
      </c>
      <c r="B28" s="621" t="s">
        <v>245</v>
      </c>
      <c r="C28" s="622" t="s">
        <v>237</v>
      </c>
      <c r="D28" s="623"/>
      <c r="E28" s="278">
        <f>'[14]10 Удаление ультразвуком '!G27</f>
        <v>1.43</v>
      </c>
      <c r="F28" s="624" t="s">
        <v>25</v>
      </c>
      <c r="G28" s="625">
        <f>'[14]10 Удаление ультразвуком '!P31</f>
        <v>0.02</v>
      </c>
      <c r="H28" s="626"/>
      <c r="I28" s="625">
        <f>'[14]10р Удаление ультразвуком'!G27</f>
        <v>1.9</v>
      </c>
      <c r="J28" s="282" t="s">
        <v>25</v>
      </c>
      <c r="K28" s="273">
        <f t="shared" si="0"/>
        <v>1.8181818181818182E-3</v>
      </c>
      <c r="L28" s="247"/>
      <c r="M28" s="247">
        <f t="shared" si="1"/>
        <v>1.8181818181818182E-3</v>
      </c>
    </row>
    <row r="29" spans="1:13" s="20" customFormat="1" ht="29.25" thickBot="1" x14ac:dyDescent="0.3">
      <c r="A29" s="620" t="s">
        <v>246</v>
      </c>
      <c r="B29" s="621" t="s">
        <v>247</v>
      </c>
      <c r="C29" s="622" t="s">
        <v>237</v>
      </c>
      <c r="D29" s="623"/>
      <c r="E29" s="628">
        <f>'[14]11 Полирование'!G27</f>
        <v>1.23</v>
      </c>
      <c r="F29" s="268" t="s">
        <v>25</v>
      </c>
      <c r="G29" s="325">
        <f>'[14]11р Полирование'!P31</f>
        <v>0.84</v>
      </c>
      <c r="H29" s="243"/>
      <c r="I29" s="325">
        <f>'[14]11р Полирование'!G27</f>
        <v>1.65</v>
      </c>
      <c r="J29" s="244" t="s">
        <v>25</v>
      </c>
      <c r="K29" s="273">
        <f t="shared" si="0"/>
        <v>7.636363636363637E-2</v>
      </c>
      <c r="L29" s="247"/>
      <c r="M29" s="247">
        <f t="shared" si="1"/>
        <v>7.636363636363637E-2</v>
      </c>
    </row>
    <row r="30" spans="1:13" s="20" customFormat="1" ht="16.5" thickBot="1" x14ac:dyDescent="0.3">
      <c r="A30" s="630" t="s">
        <v>248</v>
      </c>
      <c r="B30" s="782" t="s">
        <v>249</v>
      </c>
      <c r="C30" s="783"/>
      <c r="D30" s="783"/>
      <c r="E30" s="783"/>
      <c r="F30" s="783"/>
      <c r="G30" s="783"/>
      <c r="H30" s="783"/>
      <c r="I30" s="783"/>
      <c r="J30" s="784"/>
      <c r="K30" s="273"/>
      <c r="L30" s="247"/>
      <c r="M30" s="247"/>
    </row>
    <row r="31" spans="1:13" s="20" customFormat="1" ht="29.25" thickBot="1" x14ac:dyDescent="0.3">
      <c r="A31" s="631" t="s">
        <v>250</v>
      </c>
      <c r="B31" s="621" t="s">
        <v>251</v>
      </c>
      <c r="C31" s="622" t="s">
        <v>237</v>
      </c>
      <c r="D31" s="632"/>
      <c r="E31" s="242">
        <f>'[14]12 Инфильтрац.анестез.'!G27</f>
        <v>3.02</v>
      </c>
      <c r="F31" s="268" t="s">
        <v>25</v>
      </c>
      <c r="G31" s="325">
        <f>'[14]12 Инфильтрац.анестез.'!P31</f>
        <v>0.02</v>
      </c>
      <c r="H31" s="243"/>
      <c r="I31" s="325">
        <f>'[14]12р Инфильтрац.анестез.'!G27</f>
        <v>4.0599999999999996</v>
      </c>
      <c r="J31" s="244" t="s">
        <v>25</v>
      </c>
      <c r="K31" s="273">
        <f>G31*$K$14/110</f>
        <v>1.8181818181818182E-3</v>
      </c>
      <c r="L31" s="247"/>
      <c r="M31" s="247">
        <f t="shared" si="1"/>
        <v>1.8181818181818182E-3</v>
      </c>
    </row>
    <row r="32" spans="1:13" s="20" customFormat="1" ht="29.25" thickBot="1" x14ac:dyDescent="0.3">
      <c r="A32" s="631" t="s">
        <v>252</v>
      </c>
      <c r="B32" s="621" t="s">
        <v>253</v>
      </c>
      <c r="C32" s="622" t="s">
        <v>237</v>
      </c>
      <c r="D32" s="632"/>
      <c r="E32" s="628">
        <f>'[14]13 Провод.анестез.'!G27</f>
        <v>4.3899999999999997</v>
      </c>
      <c r="F32" s="268" t="s">
        <v>25</v>
      </c>
      <c r="G32" s="325">
        <f>'[14]13 Провод.анестез.'!P31</f>
        <v>0.02</v>
      </c>
      <c r="H32" s="243"/>
      <c r="I32" s="325">
        <f>'[14]13р Провод.анестез.'!G27</f>
        <v>5.96</v>
      </c>
      <c r="J32" s="244" t="s">
        <v>25</v>
      </c>
      <c r="K32" s="273">
        <f>G32*$K$14/110</f>
        <v>1.8181818181818182E-3</v>
      </c>
      <c r="L32" s="247"/>
      <c r="M32" s="247">
        <f t="shared" si="1"/>
        <v>1.8181818181818182E-3</v>
      </c>
    </row>
    <row r="33" spans="1:13" s="20" customFormat="1" ht="29.25" thickBot="1" x14ac:dyDescent="0.3">
      <c r="A33" s="633" t="s">
        <v>254</v>
      </c>
      <c r="B33" s="634" t="str">
        <f>'[14]46 салфетка '!B14</f>
        <v>Применение одноразового шприца  с иглой 2А</v>
      </c>
      <c r="C33" s="622"/>
      <c r="D33" s="632"/>
      <c r="E33" s="242"/>
      <c r="F33" s="268" t="s">
        <v>25</v>
      </c>
      <c r="G33" s="325">
        <f>'[14]46 салфетка '!H14</f>
        <v>0.13</v>
      </c>
      <c r="H33" s="243"/>
      <c r="I33" s="325"/>
      <c r="J33" s="244" t="s">
        <v>25</v>
      </c>
      <c r="K33" s="273">
        <f>G33*$K$14/110</f>
        <v>1.1818181818181818E-2</v>
      </c>
      <c r="L33" s="247"/>
      <c r="M33" s="247">
        <f t="shared" si="1"/>
        <v>1.1818181818181818E-2</v>
      </c>
    </row>
    <row r="34" spans="1:13" s="20" customFormat="1" ht="43.5" thickBot="1" x14ac:dyDescent="0.3">
      <c r="A34" s="620" t="s">
        <v>255</v>
      </c>
      <c r="B34" s="634" t="str">
        <f>'[14]46 салфетка '!B15</f>
        <v>Раствор лекарственного средства для анестизии (ультракаин Д-С Форте  40мг/мл 0,012 мг/мл 1,7 мл, картридж № 100)</v>
      </c>
      <c r="C34" s="622"/>
      <c r="D34" s="632"/>
      <c r="E34" s="242"/>
      <c r="F34" s="268" t="s">
        <v>25</v>
      </c>
      <c r="G34" s="325">
        <f>'[14]46 салфетка '!H15</f>
        <v>1.44</v>
      </c>
      <c r="H34" s="243"/>
      <c r="I34" s="325"/>
      <c r="J34" s="244" t="s">
        <v>25</v>
      </c>
      <c r="K34" s="273">
        <f>G34*$K$14/110</f>
        <v>0.13090909090909089</v>
      </c>
      <c r="L34" s="247"/>
      <c r="M34" s="247">
        <f t="shared" si="1"/>
        <v>0.13090909090909089</v>
      </c>
    </row>
    <row r="35" spans="1:13" s="20" customFormat="1" ht="16.5" thickBot="1" x14ac:dyDescent="0.3">
      <c r="A35" s="629" t="s">
        <v>256</v>
      </c>
      <c r="B35" s="782" t="s">
        <v>257</v>
      </c>
      <c r="C35" s="783"/>
      <c r="D35" s="783"/>
      <c r="E35" s="783"/>
      <c r="F35" s="783"/>
      <c r="G35" s="783"/>
      <c r="H35" s="783"/>
      <c r="I35" s="783"/>
      <c r="J35" s="784"/>
      <c r="K35" s="273"/>
      <c r="L35" s="247"/>
      <c r="M35" s="247"/>
    </row>
    <row r="36" spans="1:13" s="20" customFormat="1" ht="29.25" thickBot="1" x14ac:dyDescent="0.3">
      <c r="A36" s="620" t="s">
        <v>258</v>
      </c>
      <c r="B36" s="621" t="s">
        <v>259</v>
      </c>
      <c r="C36" s="622" t="s">
        <v>237</v>
      </c>
      <c r="D36" s="623"/>
      <c r="E36" s="278">
        <f>'[14]14 Наложение временной пломбы '!G27</f>
        <v>1.37</v>
      </c>
      <c r="F36" s="624" t="s">
        <v>25</v>
      </c>
      <c r="G36" s="625">
        <f>'[14]14 Наложение временной пломбы '!P31</f>
        <v>0.03</v>
      </c>
      <c r="H36" s="626"/>
      <c r="I36" s="625">
        <f>'[14]14р Наложение временной плом '!G27</f>
        <v>1.9</v>
      </c>
      <c r="J36" s="282" t="s">
        <v>25</v>
      </c>
      <c r="K36" s="273">
        <f t="shared" ref="K36:K42" si="2">G36*$K$14/110</f>
        <v>2.7272727272727271E-3</v>
      </c>
      <c r="L36" s="247"/>
      <c r="M36" s="247">
        <f t="shared" si="1"/>
        <v>2.7272727272727271E-3</v>
      </c>
    </row>
    <row r="37" spans="1:13" s="20" customFormat="1" ht="29.25" thickBot="1" x14ac:dyDescent="0.3">
      <c r="A37" s="620" t="s">
        <v>260</v>
      </c>
      <c r="B37" s="621" t="s">
        <v>261</v>
      </c>
      <c r="C37" s="622" t="s">
        <v>237</v>
      </c>
      <c r="D37" s="623"/>
      <c r="E37" s="278">
        <f>'[14]15 Удал. одной прочн пломбы'!G27</f>
        <v>3.43</v>
      </c>
      <c r="F37" s="624" t="s">
        <v>25</v>
      </c>
      <c r="G37" s="625">
        <f>'[14]15 Удал. одной прочн пломбы'!P31</f>
        <v>2.58</v>
      </c>
      <c r="H37" s="626"/>
      <c r="I37" s="625">
        <f>'[14]15р Удал. одной прочн пломбы'!G27</f>
        <v>4.76</v>
      </c>
      <c r="J37" s="282" t="s">
        <v>25</v>
      </c>
      <c r="K37" s="273">
        <f t="shared" si="2"/>
        <v>0.23454545454545456</v>
      </c>
      <c r="L37" s="247"/>
      <c r="M37" s="247">
        <f t="shared" si="1"/>
        <v>0.23454545454545456</v>
      </c>
    </row>
    <row r="38" spans="1:13" s="20" customFormat="1" ht="29.25" thickBot="1" x14ac:dyDescent="0.3">
      <c r="A38" s="620" t="s">
        <v>262</v>
      </c>
      <c r="B38" s="621" t="s">
        <v>263</v>
      </c>
      <c r="C38" s="622" t="s">
        <v>237</v>
      </c>
      <c r="D38" s="623"/>
      <c r="E38" s="278">
        <f>'[14]16 Удал. одной деф пломбы '!G27</f>
        <v>1.75</v>
      </c>
      <c r="F38" s="624" t="s">
        <v>25</v>
      </c>
      <c r="G38" s="625">
        <f>'[14]16 Удал. одной деф пломбы '!P31</f>
        <v>1.94</v>
      </c>
      <c r="H38" s="626"/>
      <c r="I38" s="625">
        <f>'[14]16р Удал. одной деф пломбы'!G27</f>
        <v>2.41</v>
      </c>
      <c r="J38" s="282" t="s">
        <v>25</v>
      </c>
      <c r="K38" s="273">
        <f t="shared" si="2"/>
        <v>0.17636363636363636</v>
      </c>
      <c r="L38" s="247"/>
      <c r="M38" s="247">
        <f t="shared" si="1"/>
        <v>0.17636363636363636</v>
      </c>
    </row>
    <row r="39" spans="1:13" s="20" customFormat="1" ht="29.25" thickBot="1" x14ac:dyDescent="0.3">
      <c r="A39" s="620" t="s">
        <v>264</v>
      </c>
      <c r="B39" s="621" t="s">
        <v>265</v>
      </c>
      <c r="C39" s="622" t="s">
        <v>237</v>
      </c>
      <c r="D39" s="623"/>
      <c r="E39" s="278">
        <f>'[14]17 Инстилляция'!G27</f>
        <v>0.78</v>
      </c>
      <c r="F39" s="624" t="s">
        <v>25</v>
      </c>
      <c r="G39" s="625">
        <f>'[14]17 Инстилляция'!P31</f>
        <v>1</v>
      </c>
      <c r="H39" s="626"/>
      <c r="I39" s="278">
        <f>'[14]17р Инстилляция '!G27</f>
        <v>1.05</v>
      </c>
      <c r="J39" s="282" t="s">
        <v>25</v>
      </c>
      <c r="K39" s="273">
        <f t="shared" si="2"/>
        <v>9.0909090909090912E-2</v>
      </c>
      <c r="L39" s="247"/>
      <c r="M39" s="247">
        <f t="shared" si="1"/>
        <v>9.0909090909090912E-2</v>
      </c>
    </row>
    <row r="40" spans="1:13" s="20" customFormat="1" ht="29.25" thickBot="1" x14ac:dyDescent="0.3">
      <c r="A40" s="620" t="s">
        <v>266</v>
      </c>
      <c r="B40" s="621" t="s">
        <v>267</v>
      </c>
      <c r="C40" s="622" t="s">
        <v>237</v>
      </c>
      <c r="D40" s="623"/>
      <c r="E40" s="278">
        <f>'[14]18 Ретракция  десны'!G27</f>
        <v>0.78</v>
      </c>
      <c r="F40" s="624" t="s">
        <v>25</v>
      </c>
      <c r="G40" s="625">
        <f>'[14]18 Ретракция  десны'!P31</f>
        <v>0</v>
      </c>
      <c r="H40" s="626"/>
      <c r="I40" s="278">
        <f>'[14]18р Ретракция  десны'!G27</f>
        <v>1.05</v>
      </c>
      <c r="J40" s="282" t="s">
        <v>25</v>
      </c>
      <c r="K40" s="273">
        <f t="shared" si="2"/>
        <v>0</v>
      </c>
      <c r="L40" s="247"/>
      <c r="M40" s="247">
        <f t="shared" si="1"/>
        <v>0</v>
      </c>
    </row>
    <row r="41" spans="1:13" s="20" customFormat="1" ht="29.25" thickBot="1" x14ac:dyDescent="0.3">
      <c r="A41" s="620" t="s">
        <v>268</v>
      </c>
      <c r="B41" s="621" t="s">
        <v>269</v>
      </c>
      <c r="C41" s="622" t="s">
        <v>237</v>
      </c>
      <c r="D41" s="623"/>
      <c r="E41" s="278">
        <f>'[14]19 Кровоост.ср-ва'!G27</f>
        <v>0.78</v>
      </c>
      <c r="F41" s="624" t="s">
        <v>25</v>
      </c>
      <c r="G41" s="625">
        <f>'[14]19 Кровоост.ср-ва'!P31</f>
        <v>0</v>
      </c>
      <c r="H41" s="626"/>
      <c r="I41" s="278">
        <f>'[14]19р Кровоост.ср-ва'!G27</f>
        <v>1.05</v>
      </c>
      <c r="J41" s="282" t="s">
        <v>25</v>
      </c>
      <c r="K41" s="273">
        <f t="shared" si="2"/>
        <v>0</v>
      </c>
      <c r="L41" s="247"/>
      <c r="M41" s="247">
        <f t="shared" si="1"/>
        <v>0</v>
      </c>
    </row>
    <row r="42" spans="1:13" s="20" customFormat="1" ht="29.25" thickBot="1" x14ac:dyDescent="0.3">
      <c r="A42" s="620" t="s">
        <v>270</v>
      </c>
      <c r="B42" s="635" t="s">
        <v>271</v>
      </c>
      <c r="C42" s="636" t="s">
        <v>237</v>
      </c>
      <c r="D42" s="623"/>
      <c r="E42" s="278">
        <f>'[14]20 Коагуляция сосочка'!G27</f>
        <v>1.22</v>
      </c>
      <c r="F42" s="624" t="s">
        <v>25</v>
      </c>
      <c r="G42" s="625">
        <f>'[14]20 Коагуляция сосочка'!P31</f>
        <v>0.02</v>
      </c>
      <c r="H42" s="626"/>
      <c r="I42" s="278">
        <f>'[14]20р Коагуляция сосочка'!G27</f>
        <v>1.65</v>
      </c>
      <c r="J42" s="282" t="s">
        <v>25</v>
      </c>
      <c r="K42" s="273">
        <f t="shared" si="2"/>
        <v>1.8181818181818182E-3</v>
      </c>
      <c r="L42" s="247"/>
      <c r="M42" s="247">
        <f t="shared" si="1"/>
        <v>1.8181818181818182E-3</v>
      </c>
    </row>
    <row r="43" spans="1:13" s="20" customFormat="1" ht="16.5" thickBot="1" x14ac:dyDescent="0.3">
      <c r="A43" s="620" t="s">
        <v>92</v>
      </c>
      <c r="B43" s="785" t="s">
        <v>272</v>
      </c>
      <c r="C43" s="786"/>
      <c r="D43" s="786"/>
      <c r="E43" s="786"/>
      <c r="F43" s="786"/>
      <c r="G43" s="786"/>
      <c r="H43" s="786"/>
      <c r="I43" s="786"/>
      <c r="J43" s="787"/>
      <c r="K43" s="273"/>
      <c r="L43" s="247"/>
      <c r="M43" s="247"/>
    </row>
    <row r="44" spans="1:13" s="20" customFormat="1" ht="16.5" thickBot="1" x14ac:dyDescent="0.3">
      <c r="A44" s="620" t="s">
        <v>273</v>
      </c>
      <c r="B44" s="782" t="s">
        <v>274</v>
      </c>
      <c r="C44" s="783"/>
      <c r="D44" s="783"/>
      <c r="E44" s="783"/>
      <c r="F44" s="783"/>
      <c r="G44" s="783"/>
      <c r="H44" s="783"/>
      <c r="I44" s="783"/>
      <c r="J44" s="784"/>
      <c r="K44" s="273"/>
      <c r="L44" s="247"/>
      <c r="M44" s="247"/>
    </row>
    <row r="45" spans="1:13" s="20" customFormat="1" ht="29.25" thickBot="1" x14ac:dyDescent="0.3">
      <c r="A45" s="620" t="s">
        <v>173</v>
      </c>
      <c r="B45" s="621" t="s">
        <v>275</v>
      </c>
      <c r="C45" s="622" t="s">
        <v>237</v>
      </c>
      <c r="D45" s="623"/>
      <c r="E45" s="278">
        <f>'[14]21 Мин.инвазив. препарирование'!G27</f>
        <v>2.87</v>
      </c>
      <c r="F45" s="624" t="s">
        <v>25</v>
      </c>
      <c r="G45" s="625">
        <f>'[14]21 Мин.инвазив. препарирование'!P31</f>
        <v>1.56</v>
      </c>
      <c r="H45" s="626"/>
      <c r="I45" s="278">
        <f>'[14]21р Мин.инвазив. препарирова '!G27</f>
        <v>3.82</v>
      </c>
      <c r="J45" s="282" t="s">
        <v>25</v>
      </c>
      <c r="K45" s="273">
        <f>G45*$K$14/110</f>
        <v>0.14181818181818184</v>
      </c>
      <c r="L45" s="247"/>
      <c r="M45" s="247">
        <f t="shared" si="1"/>
        <v>0.14181818181818184</v>
      </c>
    </row>
    <row r="46" spans="1:13" s="20" customFormat="1" ht="29.25" thickBot="1" x14ac:dyDescent="0.3">
      <c r="A46" s="620" t="s">
        <v>276</v>
      </c>
      <c r="B46" s="621" t="s">
        <v>277</v>
      </c>
      <c r="C46" s="622" t="s">
        <v>237</v>
      </c>
      <c r="D46" s="623"/>
      <c r="E46" s="278">
        <f>'[14]22 Препарирование до 113'!G27</f>
        <v>4.29</v>
      </c>
      <c r="F46" s="624" t="s">
        <v>25</v>
      </c>
      <c r="G46" s="625">
        <f>'[14]22 Препарирование до 113'!P31</f>
        <v>1.94</v>
      </c>
      <c r="H46" s="626"/>
      <c r="I46" s="278">
        <f>'[14]22р Препарирование до 113'!G27</f>
        <v>5.73</v>
      </c>
      <c r="J46" s="282" t="s">
        <v>25</v>
      </c>
      <c r="K46" s="273">
        <f>G46*$K$14/110</f>
        <v>0.17636363636363636</v>
      </c>
      <c r="L46" s="247"/>
      <c r="M46" s="247">
        <f t="shared" si="1"/>
        <v>0.17636363636363636</v>
      </c>
    </row>
    <row r="47" spans="1:13" s="20" customFormat="1" ht="30.75" thickBot="1" x14ac:dyDescent="0.3">
      <c r="A47" s="620" t="s">
        <v>278</v>
      </c>
      <c r="B47" s="304" t="s">
        <v>279</v>
      </c>
      <c r="C47" s="622" t="s">
        <v>237</v>
      </c>
      <c r="D47" s="623"/>
      <c r="E47" s="278">
        <f>'[14]23 Препарирование до 112'!G27</f>
        <v>6.3</v>
      </c>
      <c r="F47" s="624" t="s">
        <v>25</v>
      </c>
      <c r="G47" s="625">
        <f>'[14]23 Препарирование до 112'!P31</f>
        <v>2.58</v>
      </c>
      <c r="H47" s="626"/>
      <c r="I47" s="278">
        <f>'[14]23р Препарирование до 112 '!G27</f>
        <v>8.4</v>
      </c>
      <c r="J47" s="282" t="s">
        <v>25</v>
      </c>
      <c r="K47" s="273">
        <f>G47*$K$14/110</f>
        <v>0.23454545454545456</v>
      </c>
      <c r="L47" s="247"/>
      <c r="M47" s="247">
        <f t="shared" si="1"/>
        <v>0.23454545454545456</v>
      </c>
    </row>
    <row r="48" spans="1:13" s="20" customFormat="1" ht="29.25" thickBot="1" x14ac:dyDescent="0.3">
      <c r="A48" s="620" t="s">
        <v>280</v>
      </c>
      <c r="B48" s="621" t="s">
        <v>281</v>
      </c>
      <c r="C48" s="622" t="s">
        <v>237</v>
      </c>
      <c r="D48" s="623"/>
      <c r="E48" s="628">
        <f>'[14]24 Прпарирование бол 112'!G27</f>
        <v>8.14</v>
      </c>
      <c r="F48" s="268" t="s">
        <v>25</v>
      </c>
      <c r="G48" s="325">
        <f>'[14]24 Прпарирование бол 112'!P31</f>
        <v>3.88</v>
      </c>
      <c r="H48" s="243"/>
      <c r="I48" s="242">
        <f>'[14]24р Прпарирование бол 112'!G27</f>
        <v>10.85</v>
      </c>
      <c r="J48" s="244" t="s">
        <v>25</v>
      </c>
      <c r="K48" s="273">
        <f>G48*$K$14/110</f>
        <v>0.35272727272727272</v>
      </c>
      <c r="L48" s="247"/>
      <c r="M48" s="247">
        <f t="shared" si="1"/>
        <v>0.35272727272727272</v>
      </c>
    </row>
    <row r="49" spans="1:13" s="20" customFormat="1" ht="16.5" thickBot="1" x14ac:dyDescent="0.3">
      <c r="A49" s="620" t="s">
        <v>282</v>
      </c>
      <c r="B49" s="782" t="s">
        <v>283</v>
      </c>
      <c r="C49" s="783"/>
      <c r="D49" s="783"/>
      <c r="E49" s="783"/>
      <c r="F49" s="783"/>
      <c r="G49" s="783"/>
      <c r="H49" s="783"/>
      <c r="I49" s="783"/>
      <c r="J49" s="784"/>
      <c r="K49" s="273"/>
      <c r="L49" s="247"/>
      <c r="M49" s="247"/>
    </row>
    <row r="50" spans="1:13" s="20" customFormat="1" ht="29.25" thickBot="1" x14ac:dyDescent="0.3">
      <c r="A50" s="620" t="s">
        <v>177</v>
      </c>
      <c r="B50" s="621" t="s">
        <v>284</v>
      </c>
      <c r="C50" s="622" t="s">
        <v>237</v>
      </c>
      <c r="D50" s="623"/>
      <c r="E50" s="278">
        <f>'[14]25 Изг.изол.прок из стеклоион.'!G27</f>
        <v>3.48</v>
      </c>
      <c r="F50" s="624" t="s">
        <v>25</v>
      </c>
      <c r="G50" s="625">
        <f>'[14]25 Изг.изол.прок из стеклоион.'!P31</f>
        <v>11.88</v>
      </c>
      <c r="H50" s="626"/>
      <c r="I50" s="278">
        <f>'[14]25р Изг.изол.прок из стеклои'!G27</f>
        <v>4.63</v>
      </c>
      <c r="J50" s="282" t="s">
        <v>25</v>
      </c>
      <c r="K50" s="273">
        <f>G50*$K$14/110</f>
        <v>1.08</v>
      </c>
      <c r="L50" s="247"/>
      <c r="M50" s="247">
        <f t="shared" si="1"/>
        <v>1.08</v>
      </c>
    </row>
    <row r="51" spans="1:13" s="20" customFormat="1" ht="43.5" thickBot="1" x14ac:dyDescent="0.3">
      <c r="A51" s="620" t="s">
        <v>178</v>
      </c>
      <c r="B51" s="621" t="s">
        <v>285</v>
      </c>
      <c r="C51" s="622" t="s">
        <v>237</v>
      </c>
      <c r="D51" s="623"/>
      <c r="E51" s="278">
        <f>'[14]26 Изг.фотоотв. прокл.'!G27</f>
        <v>2.87</v>
      </c>
      <c r="F51" s="624" t="s">
        <v>25</v>
      </c>
      <c r="G51" s="625">
        <f>'[14]26 Изг.фотоотв. прокл.'!P31</f>
        <v>1.1499999999999999</v>
      </c>
      <c r="H51" s="626"/>
      <c r="I51" s="278">
        <f>'[14]26р Изг.фотоотв. прокл.'!G27</f>
        <v>3.82</v>
      </c>
      <c r="J51" s="282" t="s">
        <v>25</v>
      </c>
      <c r="K51" s="273"/>
      <c r="L51" s="247">
        <f>G51*$L$14/120</f>
        <v>0.19166666666666668</v>
      </c>
      <c r="M51" s="247">
        <f t="shared" si="1"/>
        <v>0.19166666666666668</v>
      </c>
    </row>
    <row r="52" spans="1:13" s="20" customFormat="1" ht="29.25" thickBot="1" x14ac:dyDescent="0.3">
      <c r="A52" s="637" t="s">
        <v>179</v>
      </c>
      <c r="B52" s="635" t="s">
        <v>286</v>
      </c>
      <c r="C52" s="636" t="s">
        <v>237</v>
      </c>
      <c r="D52" s="623"/>
      <c r="E52" s="278">
        <f>'[14]27 Изг.прок.адг.сист.'!G27</f>
        <v>2.87</v>
      </c>
      <c r="F52" s="624" t="s">
        <v>25</v>
      </c>
      <c r="G52" s="625">
        <f>'[14]27 Изг.прок.адг.сист.'!P31</f>
        <v>3.52</v>
      </c>
      <c r="H52" s="626"/>
      <c r="I52" s="278">
        <f>'[14]27р Изг.прок.адг.сист.'!G27</f>
        <v>3.82</v>
      </c>
      <c r="J52" s="282" t="s">
        <v>25</v>
      </c>
      <c r="K52" s="273">
        <f>G52*$K$14/110</f>
        <v>0.32</v>
      </c>
      <c r="L52" s="247"/>
      <c r="M52" s="247">
        <f t="shared" si="1"/>
        <v>0.32</v>
      </c>
    </row>
    <row r="53" spans="1:13" s="20" customFormat="1" ht="29.25" thickBot="1" x14ac:dyDescent="0.3">
      <c r="A53" s="631" t="s">
        <v>287</v>
      </c>
      <c r="B53" s="621" t="s">
        <v>288</v>
      </c>
      <c r="C53" s="622" t="s">
        <v>237</v>
      </c>
      <c r="D53" s="632"/>
      <c r="E53" s="628">
        <f>'[14]28 Изг.кальцийсод.прокл.'!G27</f>
        <v>2.87</v>
      </c>
      <c r="F53" s="268" t="s">
        <v>25</v>
      </c>
      <c r="G53" s="325">
        <f>'[14]28 Изг.кальцийсод.прокл.'!P31</f>
        <v>0</v>
      </c>
      <c r="H53" s="243"/>
      <c r="I53" s="242">
        <f>'[14]28р Изг.кальцийсод.прокл. '!G27</f>
        <v>3.82</v>
      </c>
      <c r="J53" s="244" t="s">
        <v>25</v>
      </c>
      <c r="K53" s="273">
        <f>G53*$K$14/110</f>
        <v>0</v>
      </c>
      <c r="L53" s="247"/>
      <c r="M53" s="247">
        <f t="shared" si="1"/>
        <v>0</v>
      </c>
    </row>
    <row r="54" spans="1:13" s="20" customFormat="1" ht="16.5" thickBot="1" x14ac:dyDescent="0.3">
      <c r="A54" s="637" t="s">
        <v>289</v>
      </c>
      <c r="B54" s="782" t="s">
        <v>290</v>
      </c>
      <c r="C54" s="783"/>
      <c r="D54" s="783"/>
      <c r="E54" s="783"/>
      <c r="F54" s="783"/>
      <c r="G54" s="783"/>
      <c r="H54" s="783"/>
      <c r="I54" s="783"/>
      <c r="J54" s="784"/>
      <c r="K54" s="273"/>
      <c r="L54" s="247"/>
      <c r="M54" s="247"/>
    </row>
    <row r="55" spans="1:13" s="20" customFormat="1" ht="29.25" thickBot="1" x14ac:dyDescent="0.3">
      <c r="A55" s="631" t="s">
        <v>291</v>
      </c>
      <c r="B55" s="621" t="s">
        <v>292</v>
      </c>
      <c r="C55" s="622" t="s">
        <v>237</v>
      </c>
      <c r="D55" s="632"/>
      <c r="E55" s="242">
        <f>'[14]29 Налож.девитал.пасты'!G27</f>
        <v>1.43</v>
      </c>
      <c r="F55" s="268" t="s">
        <v>25</v>
      </c>
      <c r="G55" s="325">
        <f>'[14]29 Налож.девитал.пасты'!P31</f>
        <v>0.26</v>
      </c>
      <c r="H55" s="243"/>
      <c r="I55" s="242">
        <f>'[14]29р Налож.девитал.пасты'!G27</f>
        <v>1.9</v>
      </c>
      <c r="J55" s="244" t="s">
        <v>25</v>
      </c>
      <c r="K55" s="273">
        <f>G55*$K$14/110</f>
        <v>2.3636363636363636E-2</v>
      </c>
      <c r="L55" s="247"/>
      <c r="M55" s="247">
        <f t="shared" si="1"/>
        <v>2.3636363636363636E-2</v>
      </c>
    </row>
    <row r="56" spans="1:13" s="20" customFormat="1" ht="16.5" thickBot="1" x14ac:dyDescent="0.3">
      <c r="A56" s="631" t="s">
        <v>293</v>
      </c>
      <c r="B56" s="785" t="s">
        <v>294</v>
      </c>
      <c r="C56" s="786"/>
      <c r="D56" s="786"/>
      <c r="E56" s="786"/>
      <c r="F56" s="786"/>
      <c r="G56" s="786"/>
      <c r="H56" s="786"/>
      <c r="I56" s="786"/>
      <c r="J56" s="787"/>
      <c r="K56" s="273"/>
      <c r="L56" s="247"/>
      <c r="M56" s="247"/>
    </row>
    <row r="57" spans="1:13" s="20" customFormat="1" ht="100.5" thickBot="1" x14ac:dyDescent="0.3">
      <c r="A57" s="631" t="s">
        <v>295</v>
      </c>
      <c r="B57" s="621" t="s">
        <v>296</v>
      </c>
      <c r="C57" s="622" t="s">
        <v>237</v>
      </c>
      <c r="D57" s="632"/>
      <c r="E57" s="242">
        <f>'[14]30 реставрация до 113'!G27</f>
        <v>8.69</v>
      </c>
      <c r="F57" s="268" t="s">
        <v>25</v>
      </c>
      <c r="G57" s="325">
        <f>'[14]30 реставрация до 113'!P31</f>
        <v>7.52</v>
      </c>
      <c r="H57" s="243"/>
      <c r="I57" s="242">
        <f>'[14]30р реставрация до 113'!G27</f>
        <v>11.59</v>
      </c>
      <c r="J57" s="244" t="s">
        <v>25</v>
      </c>
      <c r="K57" s="273">
        <f t="shared" ref="K57:K67" si="3">G57*$K$14/110</f>
        <v>0.68363636363636349</v>
      </c>
      <c r="L57" s="247"/>
      <c r="M57" s="247">
        <f t="shared" si="1"/>
        <v>0.68363636363636349</v>
      </c>
    </row>
    <row r="58" spans="1:13" s="20" customFormat="1" ht="100.5" thickBot="1" x14ac:dyDescent="0.3">
      <c r="A58" s="631" t="s">
        <v>297</v>
      </c>
      <c r="B58" s="621" t="s">
        <v>298</v>
      </c>
      <c r="C58" s="622" t="s">
        <v>237</v>
      </c>
      <c r="D58" s="632"/>
      <c r="E58" s="242">
        <f>'[14]31 реставрация до 112'!G27</f>
        <v>10.42</v>
      </c>
      <c r="F58" s="268" t="s">
        <v>25</v>
      </c>
      <c r="G58" s="325">
        <f>'[14]31 реставрация до 112'!P31</f>
        <v>10.029999999999999</v>
      </c>
      <c r="H58" s="243"/>
      <c r="I58" s="242">
        <f>'[14]31р реставрация до 112'!G27</f>
        <v>13.89</v>
      </c>
      <c r="J58" s="244" t="s">
        <v>25</v>
      </c>
      <c r="K58" s="273">
        <f t="shared" si="3"/>
        <v>0.91181818181818175</v>
      </c>
      <c r="L58" s="247"/>
      <c r="M58" s="247">
        <f t="shared" si="1"/>
        <v>0.91181818181818175</v>
      </c>
    </row>
    <row r="59" spans="1:13" s="20" customFormat="1" ht="100.5" thickBot="1" x14ac:dyDescent="0.3">
      <c r="A59" s="633" t="s">
        <v>299</v>
      </c>
      <c r="B59" s="621" t="s">
        <v>300</v>
      </c>
      <c r="C59" s="622" t="s">
        <v>237</v>
      </c>
      <c r="D59" s="632"/>
      <c r="E59" s="242">
        <f>'[14]32 реставрация более 112'!G27</f>
        <v>12.22</v>
      </c>
      <c r="F59" s="268" t="s">
        <v>25</v>
      </c>
      <c r="G59" s="325">
        <f>'[14]32 реставрация более 112'!P31</f>
        <v>12.54</v>
      </c>
      <c r="H59" s="243"/>
      <c r="I59" s="242">
        <f>'[14]32р реставрация более 112'!G27</f>
        <v>16.3</v>
      </c>
      <c r="J59" s="244" t="s">
        <v>25</v>
      </c>
      <c r="K59" s="273">
        <f t="shared" si="3"/>
        <v>1.1399999999999999</v>
      </c>
      <c r="L59" s="247"/>
      <c r="M59" s="247">
        <f t="shared" si="1"/>
        <v>1.1399999999999999</v>
      </c>
    </row>
    <row r="60" spans="1:13" s="20" customFormat="1" ht="100.5" thickBot="1" x14ac:dyDescent="0.3">
      <c r="A60" s="620" t="s">
        <v>301</v>
      </c>
      <c r="B60" s="638" t="s">
        <v>302</v>
      </c>
      <c r="C60" s="639" t="s">
        <v>237</v>
      </c>
      <c r="D60" s="623"/>
      <c r="E60" s="336">
        <f>'[14]33 реставрация стеклоин до 113 '!G27</f>
        <v>8.69</v>
      </c>
      <c r="F60" s="640" t="s">
        <v>25</v>
      </c>
      <c r="G60" s="339">
        <f>'[14]33 реставрация стеклоин до 113 '!P31</f>
        <v>15.84</v>
      </c>
      <c r="H60" s="641"/>
      <c r="I60" s="336">
        <f>'[14]33р реставрация стеклоин до 113'!G27</f>
        <v>11.59</v>
      </c>
      <c r="J60" s="340" t="s">
        <v>25</v>
      </c>
      <c r="K60" s="273">
        <f t="shared" si="3"/>
        <v>1.44</v>
      </c>
      <c r="L60" s="247"/>
      <c r="M60" s="247">
        <f t="shared" si="1"/>
        <v>1.44</v>
      </c>
    </row>
    <row r="61" spans="1:13" s="20" customFormat="1" ht="100.5" thickBot="1" x14ac:dyDescent="0.3">
      <c r="A61" s="620" t="s">
        <v>303</v>
      </c>
      <c r="B61" s="621" t="s">
        <v>304</v>
      </c>
      <c r="C61" s="622" t="s">
        <v>237</v>
      </c>
      <c r="D61" s="623"/>
      <c r="E61" s="278">
        <f>'[14]34 реставрация стеклоин до 112'!G27</f>
        <v>9.08</v>
      </c>
      <c r="F61" s="624" t="s">
        <v>25</v>
      </c>
      <c r="G61" s="625">
        <f>'[14]34 реставрация стеклоин до 112'!P31</f>
        <v>19.8</v>
      </c>
      <c r="H61" s="626"/>
      <c r="I61" s="278">
        <f>'[14]34р реставрация стеклоин до 112'!G27</f>
        <v>12.11</v>
      </c>
      <c r="J61" s="282" t="s">
        <v>25</v>
      </c>
      <c r="K61" s="273">
        <f t="shared" si="3"/>
        <v>1.8</v>
      </c>
      <c r="L61" s="247"/>
      <c r="M61" s="247">
        <f t="shared" si="1"/>
        <v>1.8</v>
      </c>
    </row>
    <row r="62" spans="1:13" s="20" customFormat="1" ht="100.5" thickBot="1" x14ac:dyDescent="0.3">
      <c r="A62" s="620" t="s">
        <v>305</v>
      </c>
      <c r="B62" s="621" t="s">
        <v>306</v>
      </c>
      <c r="C62" s="622" t="s">
        <v>237</v>
      </c>
      <c r="D62" s="623"/>
      <c r="E62" s="278">
        <f>'[14]35 реставрация стеклоин бол.112'!G27</f>
        <v>10.69</v>
      </c>
      <c r="F62" s="624" t="s">
        <v>25</v>
      </c>
      <c r="G62" s="625">
        <f>'[14]35 реставрация стеклоин бол.112'!P31</f>
        <v>23.76</v>
      </c>
      <c r="H62" s="626"/>
      <c r="I62" s="278">
        <f>'[14]35р реставрация стеклоин бол12'!G27</f>
        <v>14.25</v>
      </c>
      <c r="J62" s="282" t="s">
        <v>25</v>
      </c>
      <c r="K62" s="273">
        <f t="shared" si="3"/>
        <v>2.16</v>
      </c>
      <c r="L62" s="247"/>
      <c r="M62" s="247">
        <f t="shared" si="1"/>
        <v>2.16</v>
      </c>
    </row>
    <row r="63" spans="1:13" s="20" customFormat="1" ht="43.5" thickBot="1" x14ac:dyDescent="0.3">
      <c r="A63" s="620" t="s">
        <v>307</v>
      </c>
      <c r="B63" s="621" t="s">
        <v>308</v>
      </c>
      <c r="C63" s="622" t="s">
        <v>237</v>
      </c>
      <c r="D63" s="623"/>
      <c r="E63" s="278">
        <f>'[14]36 виниринговое покрытие'!G27</f>
        <v>6.07</v>
      </c>
      <c r="F63" s="624" t="s">
        <v>25</v>
      </c>
      <c r="G63" s="625">
        <f>'[14]36 виниринговое покрытие'!P31</f>
        <v>1.1599999999999999</v>
      </c>
      <c r="H63" s="626"/>
      <c r="I63" s="278">
        <f>'[14]36р виниринговое покрытие'!G27</f>
        <v>8.09</v>
      </c>
      <c r="J63" s="282" t="s">
        <v>25</v>
      </c>
      <c r="K63" s="273">
        <f t="shared" si="3"/>
        <v>0.10545454545454545</v>
      </c>
      <c r="L63" s="247"/>
      <c r="M63" s="247">
        <f t="shared" si="1"/>
        <v>0.10545454545454545</v>
      </c>
    </row>
    <row r="64" spans="1:13" s="20" customFormat="1" ht="29.25" thickBot="1" x14ac:dyDescent="0.3">
      <c r="A64" s="620" t="s">
        <v>309</v>
      </c>
      <c r="B64" s="621" t="s">
        <v>310</v>
      </c>
      <c r="C64" s="622" t="s">
        <v>237</v>
      </c>
      <c r="D64" s="623"/>
      <c r="E64" s="278">
        <f>'[14]37 восстав. угла корн.'!G27</f>
        <v>3.02</v>
      </c>
      <c r="F64" s="624" t="s">
        <v>25</v>
      </c>
      <c r="G64" s="625">
        <f>'[14]37 восстав. угла корн.'!P31</f>
        <v>1.1599999999999999</v>
      </c>
      <c r="H64" s="626"/>
      <c r="I64" s="278">
        <f>'[14]37р восстав. угла корн.'!G27</f>
        <v>4.03</v>
      </c>
      <c r="J64" s="282" t="s">
        <v>25</v>
      </c>
      <c r="K64" s="273">
        <f t="shared" si="3"/>
        <v>0.10545454545454545</v>
      </c>
      <c r="L64" s="247"/>
      <c r="M64" s="247">
        <f t="shared" si="1"/>
        <v>0.10545454545454545</v>
      </c>
    </row>
    <row r="65" spans="1:14" s="20" customFormat="1" ht="52.5" customHeight="1" thickBot="1" x14ac:dyDescent="0.3">
      <c r="A65" s="637" t="s">
        <v>311</v>
      </c>
      <c r="B65" s="635" t="s">
        <v>312</v>
      </c>
      <c r="C65" s="636" t="s">
        <v>237</v>
      </c>
      <c r="D65" s="623"/>
      <c r="E65" s="278">
        <f>'[14]38 восстав. угла корн. кариес'!G27</f>
        <v>4.5999999999999996</v>
      </c>
      <c r="F65" s="624" t="s">
        <v>25</v>
      </c>
      <c r="G65" s="625">
        <f>'[14]38 восстав. угла корн. кариес'!P31</f>
        <v>1.1599999999999999</v>
      </c>
      <c r="H65" s="626"/>
      <c r="I65" s="278">
        <f>'[14]38р восстав. угла корн. кари'!G27</f>
        <v>6.13</v>
      </c>
      <c r="J65" s="282" t="s">
        <v>25</v>
      </c>
      <c r="K65" s="273">
        <f t="shared" si="3"/>
        <v>0.10545454545454545</v>
      </c>
      <c r="L65" s="247"/>
      <c r="M65" s="247">
        <f t="shared" si="1"/>
        <v>0.10545454545454545</v>
      </c>
    </row>
    <row r="66" spans="1:14" s="20" customFormat="1" ht="46.5" customHeight="1" thickBot="1" x14ac:dyDescent="0.3">
      <c r="A66" s="631" t="s">
        <v>313</v>
      </c>
      <c r="B66" s="621" t="s">
        <v>314</v>
      </c>
      <c r="C66" s="622" t="s">
        <v>237</v>
      </c>
      <c r="D66" s="632"/>
      <c r="E66" s="242">
        <f>'[14]39 полное восст.'!G27</f>
        <v>7.64</v>
      </c>
      <c r="F66" s="268" t="s">
        <v>25</v>
      </c>
      <c r="G66" s="325">
        <f>'[14]39р полное восст.'!P30</f>
        <v>1.1599999999999999</v>
      </c>
      <c r="H66" s="243"/>
      <c r="I66" s="242">
        <f>'[14]39р полное восст.'!G27</f>
        <v>10.19</v>
      </c>
      <c r="J66" s="244" t="s">
        <v>25</v>
      </c>
      <c r="K66" s="273">
        <f t="shared" si="3"/>
        <v>0.10545454545454545</v>
      </c>
      <c r="L66" s="247"/>
      <c r="M66" s="247">
        <f t="shared" si="1"/>
        <v>0.10545454545454545</v>
      </c>
    </row>
    <row r="67" spans="1:14" s="20" customFormat="1" ht="54" customHeight="1" thickBot="1" x14ac:dyDescent="0.3">
      <c r="A67" s="631" t="s">
        <v>315</v>
      </c>
      <c r="B67" s="621" t="s">
        <v>316</v>
      </c>
      <c r="C67" s="622" t="s">
        <v>237</v>
      </c>
      <c r="D67" s="632"/>
      <c r="E67" s="242">
        <f>'[14]40 полное восст.жев.'!G27</f>
        <v>9.08</v>
      </c>
      <c r="F67" s="268" t="s">
        <v>25</v>
      </c>
      <c r="G67" s="325">
        <f>'[14]40 полное восст.жев.'!P31</f>
        <v>1.1599999999999999</v>
      </c>
      <c r="H67" s="243"/>
      <c r="I67" s="242">
        <f>'[14]40р полное восст.жев.'!G27</f>
        <v>12.11</v>
      </c>
      <c r="J67" s="244" t="s">
        <v>25</v>
      </c>
      <c r="K67" s="273">
        <f t="shared" si="3"/>
        <v>0.10545454545454545</v>
      </c>
      <c r="L67" s="247"/>
      <c r="M67" s="247">
        <f t="shared" si="1"/>
        <v>0.10545454545454545</v>
      </c>
    </row>
    <row r="68" spans="1:14" s="20" customFormat="1" ht="27" customHeight="1" thickBot="1" x14ac:dyDescent="0.3">
      <c r="A68" s="620" t="s">
        <v>317</v>
      </c>
      <c r="B68" s="638" t="s">
        <v>318</v>
      </c>
      <c r="C68" s="639" t="s">
        <v>237</v>
      </c>
      <c r="D68" s="623"/>
      <c r="E68" s="336">
        <f>'[14]41 наложение мет.матрицы'!G27</f>
        <v>1.08</v>
      </c>
      <c r="F68" s="640" t="s">
        <v>25</v>
      </c>
      <c r="G68" s="339"/>
      <c r="H68" s="641"/>
      <c r="I68" s="336">
        <f>'[14]41р наложение мет.матрицы'!G27</f>
        <v>1.44</v>
      </c>
      <c r="J68" s="340" t="s">
        <v>25</v>
      </c>
      <c r="K68" s="273"/>
      <c r="L68" s="247"/>
      <c r="M68" s="247"/>
    </row>
    <row r="69" spans="1:14" s="20" customFormat="1" ht="27" customHeight="1" thickBot="1" x14ac:dyDescent="0.3">
      <c r="A69" s="620"/>
      <c r="B69" s="642" t="s">
        <v>319</v>
      </c>
      <c r="C69" s="622"/>
      <c r="D69" s="623"/>
      <c r="E69" s="278"/>
      <c r="F69" s="624" t="s">
        <v>25</v>
      </c>
      <c r="G69" s="625">
        <f>'[14]41 наложение мет.матрицы'!P31</f>
        <v>7.0000000000000007E-2</v>
      </c>
      <c r="H69" s="626"/>
      <c r="I69" s="278"/>
      <c r="J69" s="282" t="s">
        <v>25</v>
      </c>
      <c r="K69" s="273">
        <f t="shared" ref="K69:K74" si="4">G69*$K$14/110</f>
        <v>6.3636363636363638E-3</v>
      </c>
      <c r="L69" s="247"/>
      <c r="M69" s="247">
        <f t="shared" si="1"/>
        <v>6.3636363636363638E-3</v>
      </c>
    </row>
    <row r="70" spans="1:14" s="20" customFormat="1" ht="27" customHeight="1" thickBot="1" x14ac:dyDescent="0.3">
      <c r="A70" s="620"/>
      <c r="B70" s="642" t="s">
        <v>320</v>
      </c>
      <c r="C70" s="622"/>
      <c r="D70" s="623"/>
      <c r="E70" s="278"/>
      <c r="F70" s="624" t="s">
        <v>25</v>
      </c>
      <c r="G70" s="625">
        <f>'[14]41.1 наложение цел.матрицы'!P31</f>
        <v>0.01</v>
      </c>
      <c r="H70" s="626"/>
      <c r="I70" s="278"/>
      <c r="J70" s="282" t="s">
        <v>25</v>
      </c>
      <c r="K70" s="273">
        <f t="shared" si="4"/>
        <v>9.0909090909090909E-4</v>
      </c>
      <c r="L70" s="247"/>
      <c r="M70" s="247">
        <f t="shared" si="1"/>
        <v>9.0909090909090909E-4</v>
      </c>
    </row>
    <row r="71" spans="1:14" s="20" customFormat="1" ht="31.5" customHeight="1" thickBot="1" x14ac:dyDescent="0.3">
      <c r="A71" s="620" t="s">
        <v>321</v>
      </c>
      <c r="B71" s="621" t="s">
        <v>322</v>
      </c>
      <c r="C71" s="622" t="s">
        <v>237</v>
      </c>
      <c r="D71" s="623"/>
      <c r="E71" s="278">
        <f>'[14]42 установка клиньев'!G27</f>
        <v>0.55000000000000004</v>
      </c>
      <c r="F71" s="624" t="s">
        <v>25</v>
      </c>
      <c r="G71" s="625">
        <f>'[14]42 установка клиньев'!P31</f>
        <v>0</v>
      </c>
      <c r="H71" s="626"/>
      <c r="I71" s="278">
        <f>'[14]42р установка клиньев'!G27</f>
        <v>0.73</v>
      </c>
      <c r="J71" s="282" t="s">
        <v>25</v>
      </c>
      <c r="K71" s="273">
        <f t="shared" si="4"/>
        <v>0</v>
      </c>
      <c r="L71" s="247"/>
      <c r="M71" s="247">
        <f t="shared" si="1"/>
        <v>0</v>
      </c>
      <c r="N71" s="87"/>
    </row>
    <row r="72" spans="1:14" s="20" customFormat="1" ht="46.5" customHeight="1" thickBot="1" x14ac:dyDescent="0.3">
      <c r="A72" s="620" t="s">
        <v>323</v>
      </c>
      <c r="B72" s="621" t="s">
        <v>324</v>
      </c>
      <c r="C72" s="622" t="s">
        <v>237</v>
      </c>
      <c r="D72" s="623"/>
      <c r="E72" s="278">
        <f>'[14]43 шлифовка'!G27</f>
        <v>4.55</v>
      </c>
      <c r="F72" s="624" t="s">
        <v>25</v>
      </c>
      <c r="G72" s="625">
        <f>'[14]43 шлифовка'!P31</f>
        <v>1.62</v>
      </c>
      <c r="H72" s="626"/>
      <c r="I72" s="278">
        <f>'[14]43р шлифовка '!G27</f>
        <v>6.06</v>
      </c>
      <c r="J72" s="282" t="s">
        <v>25</v>
      </c>
      <c r="K72" s="273">
        <f t="shared" si="4"/>
        <v>0.14727272727272731</v>
      </c>
      <c r="L72" s="247"/>
      <c r="M72" s="247">
        <f t="shared" si="1"/>
        <v>0.14727272727272731</v>
      </c>
    </row>
    <row r="73" spans="1:14" s="20" customFormat="1" ht="34.5" customHeight="1" thickBot="1" x14ac:dyDescent="0.3">
      <c r="A73" s="637" t="s">
        <v>325</v>
      </c>
      <c r="B73" s="635" t="s">
        <v>326</v>
      </c>
      <c r="C73" s="636" t="s">
        <v>237</v>
      </c>
      <c r="D73" s="623"/>
      <c r="E73" s="278">
        <f>'[14]44 шлифовка из стеклоин.'!G27</f>
        <v>2.98</v>
      </c>
      <c r="F73" s="624" t="s">
        <v>25</v>
      </c>
      <c r="G73" s="625">
        <f>'[14]44 шлифовка из стеклоин.'!P31</f>
        <v>1.62</v>
      </c>
      <c r="H73" s="626"/>
      <c r="I73" s="278">
        <f>'[14]44р шлифовка из стеклоин.'!G27</f>
        <v>3.98</v>
      </c>
      <c r="J73" s="282" t="s">
        <v>25</v>
      </c>
      <c r="K73" s="273">
        <f t="shared" si="4"/>
        <v>0.14727272727272731</v>
      </c>
      <c r="L73" s="247"/>
      <c r="M73" s="247">
        <f t="shared" si="1"/>
        <v>0.14727272727272731</v>
      </c>
    </row>
    <row r="74" spans="1:14" s="20" customFormat="1" ht="24" customHeight="1" thickBot="1" x14ac:dyDescent="0.3">
      <c r="A74" s="631" t="s">
        <v>327</v>
      </c>
      <c r="B74" s="621" t="s">
        <v>328</v>
      </c>
      <c r="C74" s="622" t="s">
        <v>237</v>
      </c>
      <c r="D74" s="632"/>
      <c r="E74" s="242">
        <f>'[14]45 Герметизация'!G27</f>
        <v>1.52</v>
      </c>
      <c r="F74" s="268" t="s">
        <v>25</v>
      </c>
      <c r="G74" s="325">
        <f>'[14]45 Герметизация'!P31</f>
        <v>0</v>
      </c>
      <c r="H74" s="243"/>
      <c r="I74" s="242">
        <f>'[14]45р Герметизация'!G27</f>
        <v>2.0299999999999998</v>
      </c>
      <c r="J74" s="244" t="s">
        <v>25</v>
      </c>
      <c r="K74" s="273">
        <f t="shared" si="4"/>
        <v>0</v>
      </c>
      <c r="L74" s="247"/>
      <c r="M74" s="247">
        <f t="shared" si="1"/>
        <v>0</v>
      </c>
    </row>
    <row r="75" spans="1:14" s="20" customFormat="1" ht="30" customHeight="1" thickBot="1" x14ac:dyDescent="0.3">
      <c r="A75" s="643" t="s">
        <v>329</v>
      </c>
      <c r="B75" s="780" t="s">
        <v>330</v>
      </c>
      <c r="C75" s="780"/>
      <c r="D75" s="780"/>
      <c r="E75" s="780"/>
      <c r="F75" s="780"/>
      <c r="G75" s="780"/>
      <c r="H75" s="780"/>
      <c r="I75" s="780"/>
      <c r="J75" s="781"/>
      <c r="K75" s="273"/>
      <c r="L75" s="247"/>
      <c r="M75" s="247"/>
    </row>
    <row r="76" spans="1:14" s="20" customFormat="1" ht="33" customHeight="1" thickBot="1" x14ac:dyDescent="0.3">
      <c r="A76" s="644" t="s">
        <v>331</v>
      </c>
      <c r="B76" s="645" t="str">
        <f>'[14]46 салфетка '!B5</f>
        <v>Применение салфетки для пациента одноразовой</v>
      </c>
      <c r="C76" s="646"/>
      <c r="D76" s="243"/>
      <c r="E76" s="242"/>
      <c r="F76" s="268" t="s">
        <v>25</v>
      </c>
      <c r="G76" s="325">
        <f>'[14]46 салфетка '!H5</f>
        <v>0.12</v>
      </c>
      <c r="H76" s="243"/>
      <c r="I76" s="242"/>
      <c r="J76" s="244" t="s">
        <v>25</v>
      </c>
      <c r="K76" s="273">
        <f t="shared" ref="K76:K84" si="5">G76*$K$14/110</f>
        <v>1.0909090909090908E-2</v>
      </c>
      <c r="L76" s="247"/>
      <c r="M76" s="247">
        <f t="shared" si="1"/>
        <v>1.0909090909090908E-2</v>
      </c>
    </row>
    <row r="77" spans="1:14" s="20" customFormat="1" ht="33" customHeight="1" thickBot="1" x14ac:dyDescent="0.3">
      <c r="A77" s="644" t="s">
        <v>332</v>
      </c>
      <c r="B77" s="645" t="str">
        <f>'[14]46 салфетка '!B6</f>
        <v>Применение наконечника на слюноотсос одноразового</v>
      </c>
      <c r="C77" s="646"/>
      <c r="D77" s="243"/>
      <c r="E77" s="242"/>
      <c r="F77" s="268" t="s">
        <v>25</v>
      </c>
      <c r="G77" s="325">
        <f>'[14]46 салфетка '!H6</f>
        <v>0.06</v>
      </c>
      <c r="H77" s="243"/>
      <c r="I77" s="242"/>
      <c r="J77" s="244" t="s">
        <v>25</v>
      </c>
      <c r="K77" s="273"/>
      <c r="L77" s="247">
        <f>G77*$L$14/120</f>
        <v>0.01</v>
      </c>
      <c r="M77" s="247">
        <f t="shared" si="1"/>
        <v>0.01</v>
      </c>
    </row>
    <row r="78" spans="1:14" s="20" customFormat="1" ht="33" customHeight="1" thickBot="1" x14ac:dyDescent="0.3">
      <c r="A78" s="644" t="s">
        <v>333</v>
      </c>
      <c r="B78" s="645" t="str">
        <f>'[14]46 салфетка '!B7</f>
        <v>Применение пары медицинских одноразовых перчаток</v>
      </c>
      <c r="C78" s="646"/>
      <c r="D78" s="243"/>
      <c r="E78" s="242"/>
      <c r="F78" s="268" t="s">
        <v>25</v>
      </c>
      <c r="G78" s="325">
        <f>'[14]46 салфетка '!H7</f>
        <v>0.9</v>
      </c>
      <c r="H78" s="243"/>
      <c r="I78" s="242"/>
      <c r="J78" s="244" t="s">
        <v>25</v>
      </c>
      <c r="K78" s="273">
        <f t="shared" si="5"/>
        <v>8.1818181818181818E-2</v>
      </c>
      <c r="L78" s="247"/>
      <c r="M78" s="247">
        <f t="shared" si="1"/>
        <v>8.1818181818181818E-2</v>
      </c>
    </row>
    <row r="79" spans="1:14" s="20" customFormat="1" ht="29.25" customHeight="1" thickBot="1" x14ac:dyDescent="0.3">
      <c r="A79" s="644" t="s">
        <v>334</v>
      </c>
      <c r="B79" s="645" t="str">
        <f>'[14]46 салфетка '!B8</f>
        <v>Применение валиков стоматологических (вата)</v>
      </c>
      <c r="C79" s="646"/>
      <c r="D79" s="243"/>
      <c r="E79" s="242"/>
      <c r="F79" s="268" t="s">
        <v>25</v>
      </c>
      <c r="G79" s="325">
        <f>'[14]46 салфетка '!H8</f>
        <v>0.08</v>
      </c>
      <c r="H79" s="243"/>
      <c r="I79" s="242"/>
      <c r="J79" s="244" t="s">
        <v>25</v>
      </c>
      <c r="K79" s="273">
        <v>0</v>
      </c>
      <c r="L79" s="247"/>
      <c r="M79" s="247">
        <f t="shared" si="1"/>
        <v>0</v>
      </c>
    </row>
    <row r="80" spans="1:14" s="20" customFormat="1" ht="24" customHeight="1" thickBot="1" x14ac:dyDescent="0.3">
      <c r="A80" s="644" t="s">
        <v>335</v>
      </c>
      <c r="B80" s="645" t="str">
        <f>'[14]46 салфетка '!B9</f>
        <v>Применение микроаппликатора</v>
      </c>
      <c r="C80" s="646"/>
      <c r="D80" s="243"/>
      <c r="E80" s="242"/>
      <c r="F80" s="268" t="s">
        <v>25</v>
      </c>
      <c r="G80" s="325">
        <f>'[14]46 салфетка '!H9</f>
        <v>0.05</v>
      </c>
      <c r="H80" s="243"/>
      <c r="I80" s="242"/>
      <c r="J80" s="244" t="s">
        <v>25</v>
      </c>
      <c r="K80" s="273">
        <f t="shared" si="5"/>
        <v>4.5454545454545452E-3</v>
      </c>
      <c r="L80" s="247"/>
      <c r="M80" s="247">
        <f t="shared" si="1"/>
        <v>4.5454545454545452E-3</v>
      </c>
    </row>
    <row r="81" spans="1:13" s="20" customFormat="1" ht="16.5" thickBot="1" x14ac:dyDescent="0.3">
      <c r="A81" s="644" t="s">
        <v>336</v>
      </c>
      <c r="B81" s="645" t="str">
        <f>'[14]46 салфетка '!B10</f>
        <v>Применение  адгезива (один зуб)</v>
      </c>
      <c r="C81" s="646"/>
      <c r="D81" s="243"/>
      <c r="E81" s="242"/>
      <c r="F81" s="268" t="s">
        <v>25</v>
      </c>
      <c r="G81" s="325">
        <f>'[14]46 салфетка '!H10</f>
        <v>3.52</v>
      </c>
      <c r="H81" s="243"/>
      <c r="I81" s="242"/>
      <c r="J81" s="244" t="s">
        <v>25</v>
      </c>
      <c r="K81" s="273">
        <f t="shared" si="5"/>
        <v>0.32</v>
      </c>
      <c r="L81" s="247"/>
      <c r="M81" s="247">
        <f t="shared" si="1"/>
        <v>0.32</v>
      </c>
    </row>
    <row r="82" spans="1:13" s="20" customFormat="1" ht="16.5" thickBot="1" x14ac:dyDescent="0.3">
      <c r="A82" s="644" t="s">
        <v>337</v>
      </c>
      <c r="B82" s="645" t="str">
        <f>'[14]46 салфетка '!B11</f>
        <v>Применение  протравки (один зуб)</v>
      </c>
      <c r="C82" s="646"/>
      <c r="D82" s="243"/>
      <c r="E82" s="242"/>
      <c r="F82" s="268" t="s">
        <v>25</v>
      </c>
      <c r="G82" s="325">
        <f>'[14]46 салфетка '!H11</f>
        <v>0</v>
      </c>
      <c r="H82" s="243"/>
      <c r="I82" s="242"/>
      <c r="J82" s="244" t="s">
        <v>25</v>
      </c>
      <c r="K82" s="273">
        <f t="shared" si="5"/>
        <v>0</v>
      </c>
      <c r="L82" s="247"/>
      <c r="M82" s="247">
        <f t="shared" si="1"/>
        <v>0</v>
      </c>
    </row>
    <row r="83" spans="1:13" s="20" customFormat="1" ht="16.5" thickBot="1" x14ac:dyDescent="0.3">
      <c r="A83" s="644" t="s">
        <v>338</v>
      </c>
      <c r="B83" s="645" t="str">
        <f>'[14]46 салфетка '!B12</f>
        <v xml:space="preserve">Применение штрипсы </v>
      </c>
      <c r="C83" s="646"/>
      <c r="D83" s="243"/>
      <c r="E83" s="242"/>
      <c r="F83" s="268" t="s">
        <v>25</v>
      </c>
      <c r="G83" s="325">
        <f>'[14]46 салфетка '!H12</f>
        <v>0.31</v>
      </c>
      <c r="H83" s="243"/>
      <c r="I83" s="242"/>
      <c r="J83" s="244" t="s">
        <v>25</v>
      </c>
      <c r="K83" s="273">
        <f t="shared" si="5"/>
        <v>2.8181818181818183E-2</v>
      </c>
      <c r="L83" s="247"/>
      <c r="M83" s="247">
        <f t="shared" si="1"/>
        <v>2.8181818181818183E-2</v>
      </c>
    </row>
    <row r="84" spans="1:13" s="20" customFormat="1" ht="16.5" thickBot="1" x14ac:dyDescent="0.3">
      <c r="A84" s="644" t="s">
        <v>339</v>
      </c>
      <c r="B84" s="645" t="str">
        <f>'[14]46 салфетка '!B13</f>
        <v>Применение диска полировочного</v>
      </c>
      <c r="C84" s="646"/>
      <c r="D84" s="243"/>
      <c r="E84" s="242"/>
      <c r="F84" s="268" t="s">
        <v>25</v>
      </c>
      <c r="G84" s="325">
        <f>'[14]46 салфетка '!H13</f>
        <v>1.24</v>
      </c>
      <c r="H84" s="243"/>
      <c r="I84" s="242"/>
      <c r="J84" s="244" t="s">
        <v>25</v>
      </c>
      <c r="K84" s="273">
        <f t="shared" si="5"/>
        <v>0.11272727272727273</v>
      </c>
      <c r="L84" s="247"/>
      <c r="M84" s="247">
        <f t="shared" si="1"/>
        <v>0.11272727272727273</v>
      </c>
    </row>
    <row r="85" spans="1:13" ht="15.75" x14ac:dyDescent="0.25">
      <c r="A85" s="248"/>
      <c r="B85" s="249"/>
      <c r="C85" s="248"/>
      <c r="D85" s="250"/>
      <c r="E85" s="10"/>
      <c r="F85" s="10"/>
      <c r="G85" s="10"/>
      <c r="H85" s="10"/>
      <c r="I85" s="10"/>
      <c r="J85" s="10"/>
    </row>
    <row r="86" spans="1:13" x14ac:dyDescent="0.25">
      <c r="A86" s="10"/>
      <c r="B86" s="87"/>
      <c r="C86" s="10"/>
      <c r="D86" s="10"/>
      <c r="E86" s="10"/>
      <c r="F86" s="10"/>
      <c r="G86" s="10"/>
      <c r="H86" s="10"/>
      <c r="I86" s="10"/>
      <c r="J86" s="10"/>
    </row>
    <row r="87" spans="1:13" x14ac:dyDescent="0.25">
      <c r="A87" s="10" t="s">
        <v>340</v>
      </c>
      <c r="B87" s="10"/>
      <c r="C87" s="10"/>
      <c r="D87" s="10"/>
      <c r="E87" s="10"/>
      <c r="H87" s="10"/>
      <c r="I87" s="113" t="s">
        <v>341</v>
      </c>
      <c r="J87" s="10"/>
    </row>
    <row r="88" spans="1:13" x14ac:dyDescent="0.25">
      <c r="A88" s="10"/>
      <c r="B88" s="10"/>
      <c r="C88" s="10"/>
      <c r="D88" s="10"/>
      <c r="E88" s="10"/>
      <c r="H88" s="10"/>
      <c r="I88" s="113"/>
      <c r="J88" s="10"/>
    </row>
    <row r="89" spans="1:13" x14ac:dyDescent="0.25">
      <c r="A89" s="10" t="s">
        <v>149</v>
      </c>
      <c r="B89" s="10"/>
      <c r="C89" s="10"/>
      <c r="D89" s="10"/>
      <c r="E89" s="10"/>
      <c r="H89" s="10"/>
      <c r="I89" s="3" t="s">
        <v>83</v>
      </c>
      <c r="J89" s="10"/>
    </row>
    <row r="90" spans="1:13" x14ac:dyDescent="0.25">
      <c r="A90" s="10"/>
      <c r="B90" s="10"/>
      <c r="C90" s="10"/>
      <c r="D90" s="10"/>
      <c r="E90" s="10"/>
      <c r="H90" s="10"/>
      <c r="J90" s="10"/>
    </row>
    <row r="91" spans="1:13" x14ac:dyDescent="0.25">
      <c r="A91" s="10" t="s">
        <v>342</v>
      </c>
      <c r="B91" s="10"/>
      <c r="C91" s="10"/>
      <c r="D91" s="10"/>
      <c r="E91" s="10"/>
      <c r="H91" s="10"/>
      <c r="I91" s="3" t="s">
        <v>58</v>
      </c>
      <c r="J91" s="10"/>
    </row>
    <row r="92" spans="1:13" x14ac:dyDescent="0.25">
      <c r="A92" s="10"/>
      <c r="B92" s="10"/>
      <c r="C92" s="10"/>
      <c r="D92" s="10"/>
      <c r="E92" s="10"/>
      <c r="H92" s="10"/>
      <c r="J92" s="10"/>
    </row>
    <row r="93" spans="1:13" x14ac:dyDescent="0.25">
      <c r="A93" s="10" t="s">
        <v>343</v>
      </c>
      <c r="B93" s="10"/>
      <c r="C93" s="10"/>
      <c r="D93" s="10"/>
      <c r="E93" s="10"/>
      <c r="H93" s="10"/>
      <c r="I93" s="113" t="s">
        <v>60</v>
      </c>
      <c r="J93" s="10"/>
    </row>
    <row r="94" spans="1:13" x14ac:dyDescent="0.25">
      <c r="A94" s="10"/>
      <c r="B94" s="10"/>
      <c r="C94" s="10"/>
      <c r="D94" s="10"/>
      <c r="E94" s="10"/>
      <c r="F94" s="113"/>
      <c r="G94" s="10"/>
      <c r="H94" s="10"/>
      <c r="I94" s="10"/>
      <c r="J94" s="10"/>
    </row>
    <row r="95" spans="1:13" x14ac:dyDescent="0.25">
      <c r="A95" s="10"/>
      <c r="B95" s="10"/>
      <c r="C95" s="10"/>
      <c r="D95" s="10"/>
      <c r="E95" s="10"/>
      <c r="F95" s="113"/>
      <c r="G95" s="10"/>
      <c r="H95" s="10"/>
      <c r="I95" s="10"/>
      <c r="J95" s="10"/>
    </row>
    <row r="96" spans="1:13" x14ac:dyDescent="0.25">
      <c r="A96" s="10"/>
      <c r="B96" s="87"/>
      <c r="C96" s="10"/>
      <c r="D96" s="10"/>
      <c r="E96" s="10"/>
      <c r="F96" s="10"/>
      <c r="G96" s="10"/>
      <c r="H96" s="10"/>
      <c r="I96" s="10"/>
      <c r="J96" s="10"/>
    </row>
    <row r="97" spans="1:10" x14ac:dyDescent="0.25">
      <c r="A97" s="10"/>
      <c r="B97" s="87"/>
      <c r="C97" s="10"/>
      <c r="D97" s="10"/>
      <c r="E97" s="10"/>
      <c r="F97" s="10"/>
      <c r="G97" s="10"/>
      <c r="H97" s="10"/>
      <c r="I97" s="10"/>
      <c r="J97" s="10"/>
    </row>
    <row r="98" spans="1:10" x14ac:dyDescent="0.25">
      <c r="A98" s="10"/>
      <c r="B98" s="87"/>
      <c r="C98" s="10"/>
      <c r="D98" s="10"/>
      <c r="E98" s="10"/>
      <c r="F98" s="10"/>
      <c r="G98" s="10"/>
      <c r="H98" s="10"/>
      <c r="I98" s="10"/>
      <c r="J98" s="10"/>
    </row>
    <row r="99" spans="1:10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1" spans="1:10" x14ac:dyDescent="0.25">
      <c r="B101" s="20"/>
    </row>
    <row r="102" spans="1:10" x14ac:dyDescent="0.25">
      <c r="B102" s="20"/>
    </row>
    <row r="103" spans="1:10" x14ac:dyDescent="0.25">
      <c r="B103" s="20"/>
    </row>
  </sheetData>
  <mergeCells count="24">
    <mergeCell ref="F3:J3"/>
    <mergeCell ref="A7:J7"/>
    <mergeCell ref="A8:J8"/>
    <mergeCell ref="A9:J9"/>
    <mergeCell ref="A10:J10"/>
    <mergeCell ref="K13:M13"/>
    <mergeCell ref="A15:J15"/>
    <mergeCell ref="B16:J16"/>
    <mergeCell ref="B17:J17"/>
    <mergeCell ref="B56:J56"/>
    <mergeCell ref="B22:J22"/>
    <mergeCell ref="A13:A14"/>
    <mergeCell ref="B13:B14"/>
    <mergeCell ref="C13:C14"/>
    <mergeCell ref="E13:F13"/>
    <mergeCell ref="G13:G14"/>
    <mergeCell ref="H13:J13"/>
    <mergeCell ref="B75:J75"/>
    <mergeCell ref="B30:J30"/>
    <mergeCell ref="B35:J35"/>
    <mergeCell ref="B43:J43"/>
    <mergeCell ref="B44:J44"/>
    <mergeCell ref="B49:J49"/>
    <mergeCell ref="B54:J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8" workbookViewId="0">
      <selection activeCell="R14" sqref="R14"/>
    </sheetView>
  </sheetViews>
  <sheetFormatPr defaultRowHeight="15" x14ac:dyDescent="0.25"/>
  <cols>
    <col min="1" max="1" width="5.5703125" style="3" customWidth="1"/>
    <col min="2" max="2" width="43.42578125" style="3" customWidth="1"/>
    <col min="3" max="3" width="8.7109375" style="3" customWidth="1"/>
    <col min="4" max="4" width="0" style="3" hidden="1" customWidth="1"/>
    <col min="5" max="5" width="12.42578125" style="3" customWidth="1"/>
    <col min="6" max="6" width="8.140625" style="3" customWidth="1"/>
    <col min="7" max="7" width="9.85546875" style="3" customWidth="1"/>
    <col min="8" max="8" width="0" style="3" hidden="1" customWidth="1"/>
    <col min="9" max="9" width="12.42578125" style="3" customWidth="1"/>
    <col min="10" max="10" width="8.7109375" style="3" customWidth="1"/>
    <col min="11" max="13" width="9.140625" style="3" customWidth="1"/>
    <col min="14" max="16384" width="9.140625" style="3"/>
  </cols>
  <sheetData>
    <row r="1" spans="1:17" ht="15.75" x14ac:dyDescent="0.25">
      <c r="A1" s="85"/>
      <c r="B1" s="10"/>
      <c r="C1" s="10"/>
      <c r="D1" s="10"/>
      <c r="F1" s="86" t="s">
        <v>0</v>
      </c>
      <c r="G1" s="10"/>
      <c r="H1" s="10"/>
      <c r="I1" s="10"/>
      <c r="J1" s="10"/>
    </row>
    <row r="2" spans="1:17" x14ac:dyDescent="0.25">
      <c r="A2" s="10"/>
      <c r="B2" s="10"/>
      <c r="C2" s="10"/>
      <c r="D2" s="10"/>
      <c r="F2" s="10" t="s">
        <v>1</v>
      </c>
      <c r="G2" s="10"/>
      <c r="H2" s="10"/>
      <c r="I2" s="10"/>
      <c r="J2" s="10"/>
    </row>
    <row r="3" spans="1:17" ht="45.75" customHeight="1" x14ac:dyDescent="0.25">
      <c r="A3" s="10"/>
      <c r="B3" s="10"/>
      <c r="C3" s="10"/>
      <c r="D3" s="10"/>
      <c r="F3" s="714" t="s">
        <v>159</v>
      </c>
      <c r="G3" s="714"/>
      <c r="H3" s="714"/>
      <c r="I3" s="714"/>
      <c r="J3" s="87"/>
    </row>
    <row r="4" spans="1:17" x14ac:dyDescent="0.25">
      <c r="A4" s="10"/>
      <c r="B4" s="10"/>
      <c r="C4" s="10"/>
      <c r="D4" s="10"/>
      <c r="F4" s="10" t="s">
        <v>87</v>
      </c>
      <c r="G4" s="10"/>
      <c r="H4" s="10"/>
      <c r="I4" s="10"/>
      <c r="J4" s="10"/>
    </row>
    <row r="5" spans="1:17" x14ac:dyDescent="0.25">
      <c r="A5" s="10"/>
      <c r="B5" s="10"/>
      <c r="C5" s="10"/>
      <c r="D5" s="10"/>
      <c r="F5" s="10" t="s">
        <v>66</v>
      </c>
      <c r="G5" s="10"/>
      <c r="H5" s="10"/>
      <c r="I5" s="10"/>
      <c r="J5" s="10"/>
    </row>
    <row r="6" spans="1:17" x14ac:dyDescent="0.25">
      <c r="A6" s="10"/>
      <c r="B6" s="10"/>
      <c r="C6" s="232"/>
      <c r="D6" s="10"/>
      <c r="E6" s="10"/>
      <c r="F6" s="10"/>
      <c r="G6" s="10"/>
      <c r="H6" s="10"/>
      <c r="I6" s="10"/>
      <c r="J6" s="10"/>
    </row>
    <row r="7" spans="1:17" s="7" customFormat="1" ht="15.75" x14ac:dyDescent="0.25">
      <c r="A7" s="715" t="s">
        <v>5</v>
      </c>
      <c r="B7" s="715"/>
      <c r="C7" s="715"/>
      <c r="D7" s="715"/>
      <c r="E7" s="715"/>
      <c r="F7" s="715"/>
      <c r="G7" s="715"/>
      <c r="H7" s="715"/>
      <c r="I7" s="715"/>
      <c r="J7" s="715"/>
    </row>
    <row r="8" spans="1:17" ht="15.75" x14ac:dyDescent="0.25">
      <c r="A8" s="716" t="s">
        <v>6</v>
      </c>
      <c r="B8" s="716"/>
      <c r="C8" s="716"/>
      <c r="D8" s="716"/>
      <c r="E8" s="716"/>
      <c r="F8" s="716"/>
      <c r="G8" s="716"/>
      <c r="H8" s="716"/>
      <c r="I8" s="716"/>
      <c r="J8" s="716"/>
    </row>
    <row r="9" spans="1:17" x14ac:dyDescent="0.25">
      <c r="A9" s="716" t="s">
        <v>7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7" x14ac:dyDescent="0.25">
      <c r="A10" s="716" t="s">
        <v>8</v>
      </c>
      <c r="B10" s="716"/>
      <c r="C10" s="716"/>
      <c r="D10" s="716"/>
      <c r="E10" s="716"/>
      <c r="F10" s="716"/>
      <c r="G10" s="716"/>
      <c r="H10" s="716"/>
      <c r="I10" s="716"/>
      <c r="J10" s="716"/>
    </row>
    <row r="11" spans="1:17" ht="16.5" thickBot="1" x14ac:dyDescent="0.3">
      <c r="A11" s="89"/>
      <c r="B11" s="89"/>
      <c r="C11" s="89"/>
      <c r="D11" s="10"/>
      <c r="E11" s="10"/>
      <c r="F11" s="10"/>
      <c r="G11" s="255" t="s">
        <v>344</v>
      </c>
      <c r="H11" s="10"/>
      <c r="I11" s="10"/>
      <c r="J11" s="10"/>
      <c r="K11" s="10"/>
    </row>
    <row r="12" spans="1:17" ht="51" customHeight="1" thickBot="1" x14ac:dyDescent="0.3">
      <c r="A12" s="717" t="s">
        <v>10</v>
      </c>
      <c r="B12" s="719" t="s">
        <v>11</v>
      </c>
      <c r="C12" s="745" t="s">
        <v>12</v>
      </c>
      <c r="D12" s="256"/>
      <c r="E12" s="721" t="s">
        <v>13</v>
      </c>
      <c r="F12" s="722"/>
      <c r="G12" s="747" t="s">
        <v>14</v>
      </c>
      <c r="H12" s="721" t="s">
        <v>15</v>
      </c>
      <c r="I12" s="744"/>
      <c r="J12" s="722"/>
      <c r="K12" s="788" t="s">
        <v>16</v>
      </c>
      <c r="L12" s="789"/>
      <c r="M12" s="789"/>
    </row>
    <row r="13" spans="1:17" s="17" customFormat="1" ht="114" customHeight="1" thickBot="1" x14ac:dyDescent="0.3">
      <c r="A13" s="718"/>
      <c r="B13" s="720"/>
      <c r="C13" s="746"/>
      <c r="D13" s="257" t="s">
        <v>19</v>
      </c>
      <c r="E13" s="90" t="s">
        <v>17</v>
      </c>
      <c r="F13" s="91" t="s">
        <v>18</v>
      </c>
      <c r="G13" s="748"/>
      <c r="H13" s="90" t="s">
        <v>19</v>
      </c>
      <c r="I13" s="90" t="s">
        <v>17</v>
      </c>
      <c r="J13" s="91" t="s">
        <v>18</v>
      </c>
      <c r="K13" s="647">
        <v>10</v>
      </c>
      <c r="L13" s="15">
        <v>20</v>
      </c>
      <c r="M13" s="15" t="s">
        <v>70</v>
      </c>
    </row>
    <row r="14" spans="1:17" s="20" customFormat="1" ht="25.5" customHeight="1" thickBot="1" x14ac:dyDescent="0.3">
      <c r="A14" s="711" t="s">
        <v>345</v>
      </c>
      <c r="B14" s="712"/>
      <c r="C14" s="712"/>
      <c r="D14" s="712"/>
      <c r="E14" s="712"/>
      <c r="F14" s="712"/>
      <c r="G14" s="712"/>
      <c r="H14" s="712"/>
      <c r="I14" s="712"/>
      <c r="J14" s="713"/>
      <c r="K14" s="619"/>
      <c r="L14" s="246"/>
      <c r="M14" s="246"/>
    </row>
    <row r="15" spans="1:17" s="20" customFormat="1" ht="49.5" customHeight="1" thickBot="1" x14ac:dyDescent="0.3">
      <c r="A15" s="317" t="s">
        <v>90</v>
      </c>
      <c r="B15" s="712" t="s">
        <v>346</v>
      </c>
      <c r="C15" s="712"/>
      <c r="D15" s="712"/>
      <c r="E15" s="712"/>
      <c r="F15" s="712"/>
      <c r="G15" s="712"/>
      <c r="H15" s="712"/>
      <c r="I15" s="712"/>
      <c r="J15" s="713"/>
      <c r="K15" s="619"/>
      <c r="L15" s="246"/>
      <c r="M15" s="246"/>
    </row>
    <row r="16" spans="1:17" s="20" customFormat="1" ht="35.1" customHeight="1" thickBot="1" x14ac:dyDescent="0.3">
      <c r="A16" s="648">
        <v>44562</v>
      </c>
      <c r="B16" s="240" t="str">
        <f>[15]анализ!B9</f>
        <v>Печень, желчный пузырь без определения функции</v>
      </c>
      <c r="C16" s="269" t="str">
        <f>'[15]уровень цен'!C10</f>
        <v>исследование</v>
      </c>
      <c r="D16" s="649" t="e">
        <f>#REF!</f>
        <v>#REF!</v>
      </c>
      <c r="E16" s="242">
        <f>'[15]уровень цен'!D10</f>
        <v>7.72</v>
      </c>
      <c r="F16" s="324" t="s">
        <v>25</v>
      </c>
      <c r="G16" s="271">
        <f>'[15]1 печень'!O28</f>
        <v>0.52</v>
      </c>
      <c r="H16" s="650" t="e">
        <f>#REF!</f>
        <v>#REF!</v>
      </c>
      <c r="I16" s="242">
        <f>'[15]уровень цен'!E10</f>
        <v>9.65</v>
      </c>
      <c r="J16" s="244" t="s">
        <v>25</v>
      </c>
      <c r="K16" s="273">
        <f>0.05*$K$13/110</f>
        <v>4.5454545454545452E-3</v>
      </c>
      <c r="L16" s="247">
        <f t="shared" ref="L16:L21" si="0">0*$L$13/120</f>
        <v>0</v>
      </c>
      <c r="M16" s="247">
        <f>K16+L16</f>
        <v>4.5454545454545452E-3</v>
      </c>
      <c r="Q16" s="651"/>
    </row>
    <row r="17" spans="1:17" s="20" customFormat="1" ht="35.1" customHeight="1" thickBot="1" x14ac:dyDescent="0.3">
      <c r="A17" s="648">
        <v>44593</v>
      </c>
      <c r="B17" s="259" t="str">
        <f>[15]анализ!B10</f>
        <v>Печень, желчный пузырь с определением функции</v>
      </c>
      <c r="C17" s="269" t="str">
        <f>'[15]уровень цен'!C11</f>
        <v>исследование</v>
      </c>
      <c r="D17" s="652" t="e">
        <f>#REF!</f>
        <v>#REF!</v>
      </c>
      <c r="E17" s="262">
        <f>'[15]уровень цен'!D11</f>
        <v>12.82</v>
      </c>
      <c r="F17" s="279" t="s">
        <v>25</v>
      </c>
      <c r="G17" s="280">
        <f>'[15]2 печень с опр.'!O28</f>
        <v>0.57999999999999996</v>
      </c>
      <c r="H17" s="653" t="e">
        <f>#REF!</f>
        <v>#REF!</v>
      </c>
      <c r="I17" s="262">
        <f>'[15]уровень цен'!E11</f>
        <v>16.02</v>
      </c>
      <c r="J17" s="282" t="s">
        <v>25</v>
      </c>
      <c r="K17" s="273">
        <f t="shared" ref="K17:K21" si="1">0.05*$K$13/110</f>
        <v>4.5454545454545452E-3</v>
      </c>
      <c r="L17" s="247">
        <f t="shared" si="0"/>
        <v>0</v>
      </c>
      <c r="M17" s="247">
        <f t="shared" ref="M17:M21" si="2">K17+L17</f>
        <v>4.5454545454545452E-3</v>
      </c>
      <c r="Q17" s="651"/>
    </row>
    <row r="18" spans="1:17" ht="35.1" customHeight="1" thickBot="1" x14ac:dyDescent="0.3">
      <c r="A18" s="648">
        <v>44621</v>
      </c>
      <c r="B18" s="259" t="str">
        <f>[15]анализ!B11</f>
        <v>Поджелудочная железа</v>
      </c>
      <c r="C18" s="269" t="str">
        <f>'[15]уровень цен'!C12</f>
        <v>исследование</v>
      </c>
      <c r="D18" s="654"/>
      <c r="E18" s="262">
        <f>'[15]уровень цен'!D12</f>
        <v>7.72</v>
      </c>
      <c r="F18" s="287" t="s">
        <v>25</v>
      </c>
      <c r="G18" s="288">
        <f>'[15]3 поджел.'!O28</f>
        <v>0.52</v>
      </c>
      <c r="H18" s="655"/>
      <c r="I18" s="262">
        <f>'[15]уровень цен'!E12</f>
        <v>9.65</v>
      </c>
      <c r="J18" s="290" t="s">
        <v>25</v>
      </c>
      <c r="K18" s="273">
        <f t="shared" si="1"/>
        <v>4.5454545454545452E-3</v>
      </c>
      <c r="L18" s="247">
        <f t="shared" si="0"/>
        <v>0</v>
      </c>
      <c r="M18" s="247">
        <f t="shared" si="2"/>
        <v>4.5454545454545452E-3</v>
      </c>
      <c r="Q18" s="651"/>
    </row>
    <row r="19" spans="1:17" ht="35.1" customHeight="1" thickBot="1" x14ac:dyDescent="0.3">
      <c r="A19" s="648">
        <v>44652</v>
      </c>
      <c r="B19" s="259" t="str">
        <f>[15]анализ!B12</f>
        <v>Селезенка</v>
      </c>
      <c r="C19" s="269" t="str">
        <f>'[15]уровень цен'!C13</f>
        <v>исследование</v>
      </c>
      <c r="D19" s="654"/>
      <c r="E19" s="262">
        <f>'[15]уровень цен'!D13</f>
        <v>5.16</v>
      </c>
      <c r="F19" s="287" t="s">
        <v>25</v>
      </c>
      <c r="G19" s="288">
        <f>'[15]4 селезенка'!O28</f>
        <v>0.52</v>
      </c>
      <c r="H19" s="656"/>
      <c r="I19" s="262">
        <f>'[15]уровень цен'!E13</f>
        <v>6.45</v>
      </c>
      <c r="J19" s="290" t="s">
        <v>25</v>
      </c>
      <c r="K19" s="273">
        <f t="shared" si="1"/>
        <v>4.5454545454545452E-3</v>
      </c>
      <c r="L19" s="247">
        <f t="shared" si="0"/>
        <v>0</v>
      </c>
      <c r="M19" s="247">
        <f t="shared" si="2"/>
        <v>4.5454545454545452E-3</v>
      </c>
      <c r="Q19" s="651"/>
    </row>
    <row r="20" spans="1:17" ht="35.1" customHeight="1" thickBot="1" x14ac:dyDescent="0.3">
      <c r="A20" s="648">
        <v>44682</v>
      </c>
      <c r="B20" s="259" t="str">
        <f>[15]анализ!B13</f>
        <v>Кишечник без заполнения жидкостью</v>
      </c>
      <c r="C20" s="269" t="str">
        <f>'[15]уровень цен'!C14</f>
        <v>исследование</v>
      </c>
      <c r="D20" s="654"/>
      <c r="E20" s="262">
        <f>'[15]уровень цен'!D14</f>
        <v>5.16</v>
      </c>
      <c r="F20" s="287" t="s">
        <v>25</v>
      </c>
      <c r="G20" s="288">
        <f>'[15]5 кишечник без'!O28</f>
        <v>0.52</v>
      </c>
      <c r="H20" s="656"/>
      <c r="I20" s="262">
        <f>'[15]уровень цен'!E14</f>
        <v>6.45</v>
      </c>
      <c r="J20" s="290" t="s">
        <v>25</v>
      </c>
      <c r="K20" s="273">
        <f t="shared" si="1"/>
        <v>4.5454545454545452E-3</v>
      </c>
      <c r="L20" s="247">
        <f t="shared" si="0"/>
        <v>0</v>
      </c>
      <c r="M20" s="247">
        <f t="shared" si="2"/>
        <v>4.5454545454545452E-3</v>
      </c>
      <c r="Q20" s="651"/>
    </row>
    <row r="21" spans="1:17" ht="35.1" hidden="1" customHeight="1" x14ac:dyDescent="0.25">
      <c r="A21" s="648">
        <v>44713</v>
      </c>
      <c r="B21" s="259" t="str">
        <f>[15]анализ!B14</f>
        <v>Желудок с заполнением жидкостью</v>
      </c>
      <c r="C21" s="269" t="str">
        <f>'[15]уровень цен'!C15</f>
        <v>исследование</v>
      </c>
      <c r="D21" s="657"/>
      <c r="E21" s="262">
        <f>'[15]уровень цен'!D15</f>
        <v>10.26</v>
      </c>
      <c r="F21" s="287" t="s">
        <v>25</v>
      </c>
      <c r="G21" s="288">
        <f>'[15]6 желудок с зап.'!O28</f>
        <v>0.57999999999999996</v>
      </c>
      <c r="H21" s="658"/>
      <c r="I21" s="262">
        <f>'[15]уровень цен'!E15</f>
        <v>12.83</v>
      </c>
      <c r="J21" s="290" t="s">
        <v>25</v>
      </c>
      <c r="K21" s="273">
        <f t="shared" si="1"/>
        <v>4.5454545454545452E-3</v>
      </c>
      <c r="L21" s="247">
        <f t="shared" si="0"/>
        <v>0</v>
      </c>
      <c r="M21" s="247">
        <f t="shared" si="2"/>
        <v>4.5454545454545452E-3</v>
      </c>
      <c r="Q21" s="651"/>
    </row>
    <row r="22" spans="1:17" ht="49.5" customHeight="1" thickBot="1" x14ac:dyDescent="0.3">
      <c r="A22" s="659" t="s">
        <v>92</v>
      </c>
      <c r="B22" s="790" t="s">
        <v>347</v>
      </c>
      <c r="C22" s="791"/>
      <c r="D22" s="791"/>
      <c r="E22" s="791"/>
      <c r="F22" s="791"/>
      <c r="G22" s="791"/>
      <c r="H22" s="791"/>
      <c r="I22" s="791"/>
      <c r="J22" s="792"/>
      <c r="K22" s="660"/>
      <c r="L22" s="660"/>
      <c r="M22" s="660"/>
      <c r="Q22" s="651"/>
    </row>
    <row r="23" spans="1:17" ht="35.1" customHeight="1" thickBot="1" x14ac:dyDescent="0.3">
      <c r="A23" s="648">
        <v>44563</v>
      </c>
      <c r="B23" s="661" t="str">
        <f>[15]анализ!B16</f>
        <v>Почки и надпочечники</v>
      </c>
      <c r="C23" s="662" t="str">
        <f>'[15]уровень цен'!C17</f>
        <v>исследование</v>
      </c>
      <c r="E23" s="663">
        <f>'[15]уровень цен'!D17</f>
        <v>10.26</v>
      </c>
      <c r="F23" s="664" t="s">
        <v>25</v>
      </c>
      <c r="G23" s="366">
        <f>'[15]7 почки'!O28</f>
        <v>0.52</v>
      </c>
      <c r="H23" s="661"/>
      <c r="I23" s="663">
        <f>'[15]уровень цен'!E17</f>
        <v>12.83</v>
      </c>
      <c r="J23" s="292" t="s">
        <v>25</v>
      </c>
      <c r="K23" s="665">
        <f>0.05*K13/110</f>
        <v>4.5454545454545452E-3</v>
      </c>
      <c r="L23" s="65">
        <f>0*L13/120</f>
        <v>0</v>
      </c>
      <c r="M23" s="65">
        <f>K23+L23</f>
        <v>4.5454545454545452E-3</v>
      </c>
      <c r="Q23" s="651"/>
    </row>
    <row r="24" spans="1:17" ht="35.1" customHeight="1" thickBot="1" x14ac:dyDescent="0.3">
      <c r="A24" s="648">
        <v>44594</v>
      </c>
      <c r="B24" s="666" t="str">
        <f>[15]анализ!B17</f>
        <v>Мочевой пузырь</v>
      </c>
      <c r="C24" s="667" t="str">
        <f>'[15]уровень цен'!C18</f>
        <v>исследование</v>
      </c>
      <c r="E24" s="668">
        <f>'[15]уровень цен'!D18</f>
        <v>5.16</v>
      </c>
      <c r="F24" s="287" t="s">
        <v>25</v>
      </c>
      <c r="G24" s="366">
        <f>'[15]8 мочевой'!O28</f>
        <v>0.52</v>
      </c>
      <c r="H24" s="666"/>
      <c r="I24" s="668">
        <f>'[15]уровень цен'!E18</f>
        <v>6.45</v>
      </c>
      <c r="J24" s="283" t="s">
        <v>25</v>
      </c>
      <c r="K24" s="665">
        <f t="shared" ref="K24:K32" si="3">0.05*K14/110</f>
        <v>0</v>
      </c>
      <c r="L24" s="65">
        <f>0*L13/120</f>
        <v>0</v>
      </c>
      <c r="M24" s="65">
        <f t="shared" ref="M24:M34" si="4">K24+L24</f>
        <v>0</v>
      </c>
      <c r="Q24" s="651"/>
    </row>
    <row r="25" spans="1:17" ht="35.1" customHeight="1" thickBot="1" x14ac:dyDescent="0.3">
      <c r="A25" s="648">
        <v>44622</v>
      </c>
      <c r="B25" s="669" t="str">
        <f>[15]анализ!B18</f>
        <v>Мочевой пузырь с определением остаточной мочи</v>
      </c>
      <c r="C25" s="667" t="str">
        <f>'[15]уровень цен'!C19</f>
        <v>исследование</v>
      </c>
      <c r="E25" s="668">
        <f>'[15]уровень цен'!D19</f>
        <v>7.72</v>
      </c>
      <c r="F25" s="287" t="s">
        <v>25</v>
      </c>
      <c r="G25" s="366">
        <f>'[15]9 мочевой с опр.'!O28</f>
        <v>0.57999999999999996</v>
      </c>
      <c r="H25" s="666"/>
      <c r="I25" s="668">
        <f>'[15]уровень цен'!E19</f>
        <v>9.65</v>
      </c>
      <c r="J25" s="283" t="s">
        <v>25</v>
      </c>
      <c r="K25" s="665">
        <f t="shared" si="3"/>
        <v>0</v>
      </c>
      <c r="L25" s="65">
        <f>0*L13/120</f>
        <v>0</v>
      </c>
      <c r="M25" s="65">
        <f t="shared" si="4"/>
        <v>0</v>
      </c>
      <c r="P25" s="7"/>
      <c r="Q25" s="651"/>
    </row>
    <row r="26" spans="1:17" ht="35.1" customHeight="1" thickBot="1" x14ac:dyDescent="0.3">
      <c r="A26" s="648">
        <v>44653</v>
      </c>
      <c r="B26" s="669" t="str">
        <f>[15]анализ!B19</f>
        <v>Почки, надпочечники и мочевой пузырь</v>
      </c>
      <c r="C26" s="667" t="str">
        <f>'[15]уровень цен'!C20</f>
        <v>исследование</v>
      </c>
      <c r="E26" s="668">
        <f>'[15]уровень цен'!D20</f>
        <v>12.82</v>
      </c>
      <c r="F26" s="287" t="s">
        <v>25</v>
      </c>
      <c r="G26" s="366">
        <f>'[15]10 почки'!O28</f>
        <v>0.57999999999999996</v>
      </c>
      <c r="H26" s="666"/>
      <c r="I26" s="668">
        <f>'[15]уровень цен'!E20</f>
        <v>16.02</v>
      </c>
      <c r="J26" s="283" t="s">
        <v>25</v>
      </c>
      <c r="K26" s="665">
        <f t="shared" si="3"/>
        <v>2.0661157024793389E-6</v>
      </c>
      <c r="L26" s="65">
        <f>0*L13/120</f>
        <v>0</v>
      </c>
      <c r="M26" s="65">
        <f t="shared" si="4"/>
        <v>2.0661157024793389E-6</v>
      </c>
      <c r="Q26" s="651"/>
    </row>
    <row r="27" spans="1:17" ht="34.5" customHeight="1" thickBot="1" x14ac:dyDescent="0.3">
      <c r="A27" s="648">
        <v>44683</v>
      </c>
      <c r="B27" s="669" t="str">
        <f>[15]анализ!B20</f>
        <v>Почки, надпочечники и мочевой пузырь с определением остаточной мочи</v>
      </c>
      <c r="C27" s="667" t="str">
        <f>'[15]уровень цен'!C21</f>
        <v>исследование</v>
      </c>
      <c r="E27" s="668">
        <f>'[15]уровень цен'!D21</f>
        <v>15.37</v>
      </c>
      <c r="F27" s="287" t="s">
        <v>25</v>
      </c>
      <c r="G27" s="366">
        <f>'[15]11 почки с опр.'!O28</f>
        <v>0.57999999999999996</v>
      </c>
      <c r="H27" s="666"/>
      <c r="I27" s="668">
        <f>'[15]уровень цен'!E21</f>
        <v>19.22</v>
      </c>
      <c r="J27" s="283" t="s">
        <v>25</v>
      </c>
      <c r="K27" s="665">
        <f t="shared" si="3"/>
        <v>2.0661157024793389E-6</v>
      </c>
      <c r="L27" s="65">
        <f>0*L13/120</f>
        <v>0</v>
      </c>
      <c r="M27" s="65">
        <f t="shared" si="4"/>
        <v>2.0661157024793389E-6</v>
      </c>
      <c r="Q27" s="651"/>
    </row>
    <row r="28" spans="1:17" ht="49.5" customHeight="1" thickBot="1" x14ac:dyDescent="0.3">
      <c r="A28" s="648">
        <v>44714</v>
      </c>
      <c r="B28" s="669" t="str">
        <f>[15]анализ!B21</f>
        <v>Предстательная железа с мочевым пузырем и определением остаточной мочи (трансабдоминально)</v>
      </c>
      <c r="C28" s="667" t="str">
        <f>'[15]уровень цен'!C22</f>
        <v>исследование</v>
      </c>
      <c r="E28" s="668">
        <f>'[15]уровень цен'!D22</f>
        <v>12.82</v>
      </c>
      <c r="F28" s="287" t="s">
        <v>25</v>
      </c>
      <c r="G28" s="366">
        <f>'[15]12 пред.железа'!O28</f>
        <v>0.57999999999999996</v>
      </c>
      <c r="H28" s="666"/>
      <c r="I28" s="668">
        <f>'[15]уровень цен'!E22</f>
        <v>16.02</v>
      </c>
      <c r="J28" s="283" t="s">
        <v>25</v>
      </c>
      <c r="K28" s="665">
        <f t="shared" si="3"/>
        <v>2.0661157024793389E-6</v>
      </c>
      <c r="L28" s="65">
        <f>0*L13/120</f>
        <v>0</v>
      </c>
      <c r="M28" s="65">
        <f t="shared" si="4"/>
        <v>2.0661157024793389E-6</v>
      </c>
      <c r="Q28" s="651"/>
    </row>
    <row r="29" spans="1:17" ht="35.1" hidden="1" customHeight="1" x14ac:dyDescent="0.25">
      <c r="A29" s="648">
        <v>44744</v>
      </c>
      <c r="B29" s="669" t="str">
        <f>[15]анализ!B22</f>
        <v>Предстательная железа (трансректально)</v>
      </c>
      <c r="C29" s="667" t="str">
        <f>'[15]уровень цен'!C23</f>
        <v>исследование</v>
      </c>
      <c r="E29" s="668">
        <f>'[15]уровень цен'!D23</f>
        <v>12.82</v>
      </c>
      <c r="F29" s="287" t="s">
        <v>25</v>
      </c>
      <c r="G29" s="366">
        <f>'[15]13 пред. жел. тран.'!O28</f>
        <v>1</v>
      </c>
      <c r="H29" s="666"/>
      <c r="I29" s="668">
        <f>'[15]уровень цен'!E23</f>
        <v>16.02</v>
      </c>
      <c r="J29" s="283" t="s">
        <v>25</v>
      </c>
      <c r="K29" s="665">
        <f t="shared" si="3"/>
        <v>2.0661157024793389E-6</v>
      </c>
      <c r="L29" s="65">
        <f>0.48*L13/120</f>
        <v>0.08</v>
      </c>
      <c r="M29" s="65">
        <f t="shared" si="4"/>
        <v>8.0002066115702486E-2</v>
      </c>
      <c r="Q29" s="651"/>
    </row>
    <row r="30" spans="1:17" ht="35.1" customHeight="1" thickBot="1" x14ac:dyDescent="0.3">
      <c r="A30" s="648">
        <v>44744</v>
      </c>
      <c r="B30" s="669" t="str">
        <f>[15]анализ!B23</f>
        <v>Мошонка</v>
      </c>
      <c r="C30" s="667" t="str">
        <f>'[15]уровень цен'!C24</f>
        <v>исследование</v>
      </c>
      <c r="D30" s="10"/>
      <c r="E30" s="668">
        <f>'[15]уровень цен'!D24</f>
        <v>7.72</v>
      </c>
      <c r="F30" s="287" t="s">
        <v>25</v>
      </c>
      <c r="G30" s="366">
        <f>'[15]14 мошонка'!O28</f>
        <v>0.52</v>
      </c>
      <c r="H30" s="670"/>
      <c r="I30" s="668">
        <f>'[15]уровень цен'!E24</f>
        <v>9.65</v>
      </c>
      <c r="J30" s="283" t="s">
        <v>25</v>
      </c>
      <c r="K30" s="665">
        <f t="shared" si="3"/>
        <v>2.0661157024793389E-6</v>
      </c>
      <c r="L30" s="65">
        <f>0*L13/120</f>
        <v>0</v>
      </c>
      <c r="M30" s="65">
        <f t="shared" si="4"/>
        <v>2.0661157024793389E-6</v>
      </c>
      <c r="Q30" s="651"/>
    </row>
    <row r="31" spans="1:17" ht="35.1" hidden="1" customHeight="1" x14ac:dyDescent="0.25">
      <c r="A31" s="648">
        <v>44806</v>
      </c>
      <c r="B31" s="669" t="str">
        <f>[15]анализ!B24</f>
        <v>Половой член</v>
      </c>
      <c r="C31" s="667" t="str">
        <f>'[15]уровень цен'!C25</f>
        <v>исследование</v>
      </c>
      <c r="D31" s="10"/>
      <c r="E31" s="668">
        <f>'[15]уровень цен'!D25</f>
        <v>10.26</v>
      </c>
      <c r="F31" s="287" t="s">
        <v>25</v>
      </c>
      <c r="G31" s="366">
        <f>'[15]15 половой член'!O28</f>
        <v>0.52</v>
      </c>
      <c r="H31" s="670"/>
      <c r="I31" s="668">
        <f>'[15]уровень цен'!E25</f>
        <v>12.83</v>
      </c>
      <c r="J31" s="283" t="s">
        <v>25</v>
      </c>
      <c r="K31" s="665">
        <f t="shared" si="3"/>
        <v>2.0661157024793389E-6</v>
      </c>
      <c r="L31" s="65">
        <f>0*L13/120</f>
        <v>0</v>
      </c>
      <c r="M31" s="65">
        <f t="shared" si="4"/>
        <v>2.0661157024793389E-6</v>
      </c>
      <c r="Q31" s="651"/>
    </row>
    <row r="32" spans="1:17" ht="35.1" customHeight="1" thickBot="1" x14ac:dyDescent="0.3">
      <c r="A32" s="671">
        <v>44775</v>
      </c>
      <c r="B32" s="672" t="str">
        <f>[15]анализ!B25</f>
        <v>Матка и придатки с мочевым пузырём (трансабдоминально)</v>
      </c>
      <c r="C32" s="673" t="str">
        <f>'[15]уровень цен'!C26</f>
        <v>исследование</v>
      </c>
      <c r="D32" s="10"/>
      <c r="E32" s="674">
        <f>'[15]уровень цен'!D26</f>
        <v>10.26</v>
      </c>
      <c r="F32" s="675" t="s">
        <v>25</v>
      </c>
      <c r="G32" s="676">
        <f>'[15]16 матка тран.'!O28</f>
        <v>0.52</v>
      </c>
      <c r="H32" s="677"/>
      <c r="I32" s="674">
        <f>'[15]уровень цен'!E26</f>
        <v>12.83</v>
      </c>
      <c r="J32" s="678" t="s">
        <v>25</v>
      </c>
      <c r="K32" s="665">
        <f t="shared" si="3"/>
        <v>0</v>
      </c>
      <c r="L32" s="65">
        <f>0*L13/120</f>
        <v>0</v>
      </c>
      <c r="M32" s="65">
        <f t="shared" si="4"/>
        <v>0</v>
      </c>
      <c r="Q32" s="651"/>
    </row>
    <row r="33" spans="1:17" ht="35.1" customHeight="1" thickBot="1" x14ac:dyDescent="0.3">
      <c r="A33" s="648">
        <v>44806</v>
      </c>
      <c r="B33" s="669" t="str">
        <f>[15]анализ!B26</f>
        <v>Матка и придатки (трансвагинально)</v>
      </c>
      <c r="C33" s="667" t="str">
        <f>'[15]уровень цен'!C27</f>
        <v>исследование</v>
      </c>
      <c r="D33" s="679"/>
      <c r="E33" s="668">
        <f>'[15]уровень цен'!D27</f>
        <v>10.26</v>
      </c>
      <c r="F33" s="287" t="s">
        <v>25</v>
      </c>
      <c r="G33" s="288">
        <f>'[15]17 матка транс.'!O28</f>
        <v>1</v>
      </c>
      <c r="H33" s="670"/>
      <c r="I33" s="668">
        <f>'[15]уровень цен'!E27</f>
        <v>12.83</v>
      </c>
      <c r="J33" s="283" t="s">
        <v>25</v>
      </c>
      <c r="K33" s="665">
        <f>0.05*K23/110</f>
        <v>2.0661157024793389E-6</v>
      </c>
      <c r="L33" s="65">
        <f>0.48*L13/120</f>
        <v>0.08</v>
      </c>
      <c r="M33" s="65">
        <f t="shared" si="4"/>
        <v>8.0002066115702486E-2</v>
      </c>
      <c r="Q33" s="651"/>
    </row>
    <row r="34" spans="1:17" ht="94.5" customHeight="1" thickBot="1" x14ac:dyDescent="0.3">
      <c r="A34" s="648">
        <v>44836</v>
      </c>
      <c r="B34" s="669" t="str">
        <f>[15]анализ!B27</f>
        <v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v>
      </c>
      <c r="C34" s="667" t="str">
        <f>'[15]уровень цен'!C28</f>
        <v>исследование</v>
      </c>
      <c r="D34" s="679"/>
      <c r="E34" s="668">
        <f>'[15]уровень цен'!D28</f>
        <v>25.62</v>
      </c>
      <c r="F34" s="287" t="s">
        <v>25</v>
      </c>
      <c r="G34" s="288">
        <f>'[15]18 органы брюш.пол.'!O28</f>
        <v>0.57999999999999996</v>
      </c>
      <c r="H34" s="670"/>
      <c r="I34" s="668">
        <f>'[15]уровень цен'!E28</f>
        <v>32.03</v>
      </c>
      <c r="J34" s="283" t="s">
        <v>25</v>
      </c>
      <c r="K34" s="665">
        <f>0.05*K24/110</f>
        <v>0</v>
      </c>
      <c r="L34" s="65">
        <f>0*L13/120</f>
        <v>0</v>
      </c>
      <c r="M34" s="65">
        <f t="shared" si="4"/>
        <v>0</v>
      </c>
      <c r="Q34" s="651"/>
    </row>
    <row r="35" spans="1:17" ht="54" customHeight="1" thickBot="1" x14ac:dyDescent="0.3">
      <c r="A35" s="648" t="s">
        <v>94</v>
      </c>
      <c r="B35" s="727" t="s">
        <v>348</v>
      </c>
      <c r="C35" s="728"/>
      <c r="D35" s="728"/>
      <c r="E35" s="728"/>
      <c r="F35" s="728"/>
      <c r="G35" s="728"/>
      <c r="H35" s="728"/>
      <c r="I35" s="728"/>
      <c r="J35" s="729"/>
      <c r="K35" s="680"/>
      <c r="L35" s="135"/>
      <c r="M35" s="135"/>
      <c r="Q35" s="651"/>
    </row>
    <row r="36" spans="1:17" ht="35.1" customHeight="1" thickBot="1" x14ac:dyDescent="0.3">
      <c r="A36" s="681" t="s">
        <v>96</v>
      </c>
      <c r="B36" s="682" t="str">
        <f>[15]анализ!B29</f>
        <v>Щитовидная железа с лимфатическими поверхностными узлами</v>
      </c>
      <c r="C36" s="667" t="str">
        <f>'[15]уровень цен'!C40</f>
        <v>исследование</v>
      </c>
      <c r="E36" s="668">
        <f>'[15]уровень цен'!D30</f>
        <v>10.26</v>
      </c>
      <c r="F36" s="675" t="s">
        <v>25</v>
      </c>
      <c r="G36" s="288">
        <f>'[15]19 щит.железа'!O28</f>
        <v>0.52</v>
      </c>
      <c r="H36" s="666"/>
      <c r="I36" s="668">
        <f>'[15]уровень цен'!E30</f>
        <v>12.83</v>
      </c>
      <c r="J36" s="678" t="s">
        <v>25</v>
      </c>
      <c r="K36" s="665">
        <f t="shared" ref="K36:K44" si="5">0.05*K13/110</f>
        <v>4.5454545454545452E-3</v>
      </c>
      <c r="L36" s="65">
        <f>0*L13/120</f>
        <v>0</v>
      </c>
      <c r="M36" s="65">
        <f>K36+L36</f>
        <v>4.5454545454545452E-3</v>
      </c>
      <c r="Q36" s="651"/>
    </row>
    <row r="37" spans="1:17" ht="35.1" customHeight="1" thickBot="1" x14ac:dyDescent="0.3">
      <c r="A37" s="681" t="s">
        <v>97</v>
      </c>
      <c r="B37" s="669" t="str">
        <f>[15]анализ!B30</f>
        <v>Молочные железы с лимфатическими поверхностными узлами</v>
      </c>
      <c r="C37" s="667" t="str">
        <f>'[15]уровень цен'!C41</f>
        <v>исследование</v>
      </c>
      <c r="E37" s="668">
        <f>'[15]уровень цен'!D31</f>
        <v>12.82</v>
      </c>
      <c r="F37" s="675" t="s">
        <v>25</v>
      </c>
      <c r="G37" s="288">
        <f>'[15]20 мол. железа'!O28</f>
        <v>0.57999999999999996</v>
      </c>
      <c r="H37" s="666"/>
      <c r="I37" s="668">
        <f>'[15]уровень цен'!E31</f>
        <v>16.02</v>
      </c>
      <c r="J37" s="678" t="s">
        <v>25</v>
      </c>
      <c r="K37" s="665">
        <f t="shared" si="5"/>
        <v>0</v>
      </c>
      <c r="L37" s="65">
        <f>0*L13/120</f>
        <v>0</v>
      </c>
      <c r="M37" s="65">
        <f t="shared" ref="M37:M44" si="6">K37+L37</f>
        <v>0</v>
      </c>
      <c r="Q37" s="651"/>
    </row>
    <row r="38" spans="1:17" ht="35.1" hidden="1" customHeight="1" x14ac:dyDescent="0.25">
      <c r="A38" s="681" t="s">
        <v>98</v>
      </c>
      <c r="B38" s="669" t="str">
        <f>[15]анализ!B31</f>
        <v>Слюнные железы (или подчелюстные или околоушные)</v>
      </c>
      <c r="C38" s="667" t="str">
        <f>'[15]уровень цен'!C42</f>
        <v>исследование</v>
      </c>
      <c r="E38" s="668">
        <f>'[15]уровень цен'!D32</f>
        <v>5.16</v>
      </c>
      <c r="F38" s="675" t="s">
        <v>25</v>
      </c>
      <c r="G38" s="288">
        <f>'[15]21 слюн.железы'!O28</f>
        <v>0.52</v>
      </c>
      <c r="H38" s="666"/>
      <c r="I38" s="668">
        <f>'[15]уровень цен'!E32</f>
        <v>6.45</v>
      </c>
      <c r="J38" s="678" t="s">
        <v>25</v>
      </c>
      <c r="K38" s="665">
        <f t="shared" si="5"/>
        <v>0</v>
      </c>
      <c r="L38" s="65">
        <f>0*L13/120</f>
        <v>0</v>
      </c>
      <c r="M38" s="65">
        <f t="shared" si="6"/>
        <v>0</v>
      </c>
      <c r="Q38" s="651"/>
    </row>
    <row r="39" spans="1:17" ht="35.1" customHeight="1" thickBot="1" x14ac:dyDescent="0.3">
      <c r="A39" s="681" t="s">
        <v>98</v>
      </c>
      <c r="B39" s="669" t="str">
        <f>[15]анализ!B32</f>
        <v>Мягкие ткани</v>
      </c>
      <c r="C39" s="667" t="str">
        <f>'[15]уровень цен'!C43</f>
        <v>исследование</v>
      </c>
      <c r="E39" s="668">
        <f>'[15]уровень цен'!D33</f>
        <v>5.16</v>
      </c>
      <c r="F39" s="675" t="s">
        <v>25</v>
      </c>
      <c r="G39" s="288">
        <f>'[15]22 мягкие тк.'!O28</f>
        <v>0.52</v>
      </c>
      <c r="H39" s="666"/>
      <c r="I39" s="668">
        <f>'[15]уровень цен'!E33</f>
        <v>6.45</v>
      </c>
      <c r="J39" s="678" t="s">
        <v>25</v>
      </c>
      <c r="K39" s="665">
        <f t="shared" si="5"/>
        <v>2.0661157024793389E-6</v>
      </c>
      <c r="L39" s="65">
        <f>0*L13/120</f>
        <v>0</v>
      </c>
      <c r="M39" s="65">
        <f t="shared" si="6"/>
        <v>2.0661157024793389E-6</v>
      </c>
      <c r="Q39" s="651"/>
    </row>
    <row r="40" spans="1:17" ht="35.1" customHeight="1" thickBot="1" x14ac:dyDescent="0.3">
      <c r="A40" s="681" t="s">
        <v>99</v>
      </c>
      <c r="B40" s="669" t="str">
        <f>[15]анализ!B33</f>
        <v>Суставы непарные</v>
      </c>
      <c r="C40" s="667" t="str">
        <f>'[15]уровень цен'!C44</f>
        <v>исследование</v>
      </c>
      <c r="E40" s="668">
        <f>'[15]уровень цен'!D34</f>
        <v>7.72</v>
      </c>
      <c r="F40" s="675" t="s">
        <v>25</v>
      </c>
      <c r="G40" s="288">
        <f>'[15]23 суставы'!O28</f>
        <v>0.52</v>
      </c>
      <c r="H40" s="666"/>
      <c r="I40" s="668">
        <f>'[15]уровень цен'!E34</f>
        <v>9.65</v>
      </c>
      <c r="J40" s="678" t="s">
        <v>25</v>
      </c>
      <c r="K40" s="665">
        <f t="shared" si="5"/>
        <v>2.0661157024793389E-6</v>
      </c>
      <c r="L40" s="65">
        <f>0*L13/120</f>
        <v>0</v>
      </c>
      <c r="M40" s="65">
        <f t="shared" si="6"/>
        <v>2.0661157024793389E-6</v>
      </c>
      <c r="Q40" s="651"/>
    </row>
    <row r="41" spans="1:17" ht="35.1" customHeight="1" thickBot="1" x14ac:dyDescent="0.3">
      <c r="A41" s="681" t="s">
        <v>100</v>
      </c>
      <c r="B41" s="669" t="str">
        <f>[15]анализ!B34</f>
        <v>Суставы парные</v>
      </c>
      <c r="C41" s="667" t="str">
        <f>'[15]уровень цен'!C45</f>
        <v>исследование</v>
      </c>
      <c r="E41" s="668">
        <f>'[15]уровень цен'!D35</f>
        <v>10.26</v>
      </c>
      <c r="F41" s="675" t="s">
        <v>25</v>
      </c>
      <c r="G41" s="288">
        <f>'[15]24 суставы пар.'!O28</f>
        <v>0.57999999999999996</v>
      </c>
      <c r="H41" s="666"/>
      <c r="I41" s="668">
        <f>'[15]уровень цен'!E35</f>
        <v>12.83</v>
      </c>
      <c r="J41" s="678" t="s">
        <v>25</v>
      </c>
      <c r="K41" s="665">
        <f t="shared" si="5"/>
        <v>2.0661157024793389E-6</v>
      </c>
      <c r="L41" s="65">
        <f>0*L13/120</f>
        <v>0</v>
      </c>
      <c r="M41" s="65">
        <f t="shared" si="6"/>
        <v>2.0661157024793389E-6</v>
      </c>
      <c r="Q41" s="651"/>
    </row>
    <row r="42" spans="1:17" ht="35.1" customHeight="1" thickBot="1" x14ac:dyDescent="0.3">
      <c r="A42" s="681" t="s">
        <v>349</v>
      </c>
      <c r="B42" s="669" t="str">
        <f>[15]анализ!B35</f>
        <v>Плевральная полость</v>
      </c>
      <c r="C42" s="667" t="str">
        <f>'[15]уровень цен'!C46</f>
        <v>исследование</v>
      </c>
      <c r="E42" s="668">
        <f>'[15]уровень цен'!D36</f>
        <v>5.16</v>
      </c>
      <c r="F42" s="675" t="s">
        <v>25</v>
      </c>
      <c r="G42" s="288">
        <f>'[15]25 плеврал. пол.'!O28</f>
        <v>0.52</v>
      </c>
      <c r="H42" s="666"/>
      <c r="I42" s="668">
        <f>'[15]уровень цен'!E36</f>
        <v>6.45</v>
      </c>
      <c r="J42" s="678" t="s">
        <v>25</v>
      </c>
      <c r="K42" s="665">
        <f t="shared" si="5"/>
        <v>2.0661157024793389E-6</v>
      </c>
      <c r="L42" s="65">
        <f>0*L13/120</f>
        <v>0</v>
      </c>
      <c r="M42" s="65">
        <f t="shared" si="6"/>
        <v>2.0661157024793389E-6</v>
      </c>
      <c r="Q42" s="651"/>
    </row>
    <row r="43" spans="1:17" ht="35.1" customHeight="1" thickBot="1" x14ac:dyDescent="0.3">
      <c r="A43" s="681" t="s">
        <v>350</v>
      </c>
      <c r="B43" s="669" t="str">
        <f>[15]анализ!B36</f>
        <v>Лимфатические узлы (одна область с обеих сторон)</v>
      </c>
      <c r="C43" s="667" t="str">
        <f>'[15]уровень цен'!C47</f>
        <v>исследование</v>
      </c>
      <c r="E43" s="668">
        <f>'[15]уровень цен'!D37</f>
        <v>5.16</v>
      </c>
      <c r="F43" s="675" t="s">
        <v>25</v>
      </c>
      <c r="G43" s="288">
        <f>'[15]26 лимф. узлы'!O28</f>
        <v>0.57999999999999996</v>
      </c>
      <c r="H43" s="666"/>
      <c r="I43" s="668">
        <f>'[15]уровень цен'!E37</f>
        <v>6.45</v>
      </c>
      <c r="J43" s="678" t="s">
        <v>25</v>
      </c>
      <c r="K43" s="665">
        <f t="shared" si="5"/>
        <v>2.0661157024793389E-6</v>
      </c>
      <c r="L43" s="65">
        <f>0*L13/120</f>
        <v>0</v>
      </c>
      <c r="M43" s="65">
        <f t="shared" si="6"/>
        <v>2.0661157024793389E-6</v>
      </c>
      <c r="Q43" s="651"/>
    </row>
    <row r="44" spans="1:17" ht="35.1" hidden="1" customHeight="1" x14ac:dyDescent="0.25">
      <c r="A44" s="681" t="s">
        <v>351</v>
      </c>
      <c r="B44" s="672" t="str">
        <f>[15]анализ!B37</f>
        <v>Мышцы (одна группа с обеих сторон)</v>
      </c>
      <c r="C44" s="673" t="str">
        <f>'[15]уровень цен'!C48</f>
        <v>исследование</v>
      </c>
      <c r="E44" s="674">
        <f>'[15]уровень цен'!D38</f>
        <v>5.16</v>
      </c>
      <c r="F44" s="678" t="s">
        <v>25</v>
      </c>
      <c r="G44" s="288">
        <f>'[15]27 мышцы'!O28</f>
        <v>0.52</v>
      </c>
      <c r="H44" s="683"/>
      <c r="I44" s="674">
        <f>'[15]уровень цен'!E38</f>
        <v>6.45</v>
      </c>
      <c r="J44" s="283" t="s">
        <v>25</v>
      </c>
      <c r="K44" s="665">
        <f t="shared" si="5"/>
        <v>2.0661157024793389E-6</v>
      </c>
      <c r="L44" s="65">
        <f>0*L13/120</f>
        <v>0</v>
      </c>
      <c r="M44" s="65">
        <f t="shared" si="6"/>
        <v>2.0661157024793389E-6</v>
      </c>
      <c r="Q44" s="651"/>
    </row>
    <row r="45" spans="1:17" ht="51" customHeight="1" thickBot="1" x14ac:dyDescent="0.3">
      <c r="A45" s="648" t="s">
        <v>101</v>
      </c>
      <c r="B45" s="727" t="s">
        <v>352</v>
      </c>
      <c r="C45" s="728"/>
      <c r="D45" s="728"/>
      <c r="E45" s="728"/>
      <c r="F45" s="728"/>
      <c r="G45" s="728"/>
      <c r="H45" s="728"/>
      <c r="I45" s="728"/>
      <c r="J45" s="729"/>
      <c r="K45" s="680"/>
      <c r="L45" s="135"/>
      <c r="M45" s="135"/>
      <c r="Q45" s="651"/>
    </row>
    <row r="46" spans="1:17" ht="48" hidden="1" customHeight="1" x14ac:dyDescent="0.25">
      <c r="A46" s="648">
        <v>44565</v>
      </c>
      <c r="B46" s="669" t="str">
        <f>[15]анализ!B39</f>
        <v>Определение уродинамики мочевыводящих путей с помощью допплерографии</v>
      </c>
      <c r="C46" s="667" t="str">
        <f>'[15]уровень цен'!C40</f>
        <v>исследование</v>
      </c>
      <c r="E46" s="668">
        <f>'[15]уровень цен'!D40</f>
        <v>15.37</v>
      </c>
      <c r="F46" s="678" t="s">
        <v>25</v>
      </c>
      <c r="G46" s="288">
        <f>'[15]28 уродинамика моч. пут.'!O28</f>
        <v>0.52</v>
      </c>
      <c r="H46" s="666"/>
      <c r="I46" s="668">
        <f>'[15]уровень цен'!E40</f>
        <v>19.22</v>
      </c>
      <c r="J46" s="678" t="s">
        <v>25</v>
      </c>
      <c r="K46" s="665">
        <f t="shared" ref="K46:K54" si="7">0.05*K13/110</f>
        <v>4.5454545454545452E-3</v>
      </c>
      <c r="L46" s="65">
        <f>0*L13/120</f>
        <v>0</v>
      </c>
      <c r="M46" s="65">
        <f>K46+L46</f>
        <v>4.5454545454545452E-3</v>
      </c>
      <c r="Q46" s="651"/>
    </row>
    <row r="47" spans="1:17" ht="30.75" hidden="1" thickBot="1" x14ac:dyDescent="0.3">
      <c r="A47" s="648">
        <v>44596</v>
      </c>
      <c r="B47" s="669" t="str">
        <f>[15]анализ!B40</f>
        <v>Эхокардиография (М+В режим + допплер + цветное картирование)</v>
      </c>
      <c r="C47" s="667" t="str">
        <f>'[15]уровень цен'!C41</f>
        <v>исследование</v>
      </c>
      <c r="E47" s="668">
        <f>'[15]уровень цен'!D41</f>
        <v>23.02</v>
      </c>
      <c r="F47" s="678" t="s">
        <v>25</v>
      </c>
      <c r="G47" s="288">
        <f>'[15]29 эхокардиография'!O28</f>
        <v>0.55000000000000004</v>
      </c>
      <c r="H47" s="666"/>
      <c r="I47" s="668">
        <f>'[15]уровень цен'!E41</f>
        <v>28.77</v>
      </c>
      <c r="J47" s="678" t="s">
        <v>25</v>
      </c>
      <c r="K47" s="665">
        <f t="shared" si="7"/>
        <v>0</v>
      </c>
      <c r="L47" s="65">
        <f>0*L13/120</f>
        <v>0</v>
      </c>
      <c r="M47" s="65">
        <f t="shared" ref="M47:M54" si="8">K47+L47</f>
        <v>0</v>
      </c>
      <c r="Q47" s="651"/>
    </row>
    <row r="48" spans="1:17" ht="45.75" hidden="1" thickBot="1" x14ac:dyDescent="0.3">
      <c r="A48" s="671">
        <v>44624</v>
      </c>
      <c r="B48" s="672" t="str">
        <f>[15]анализ!B41</f>
        <v>Эхокардиография (М+В режим + допплер + цветное картирование + тканевая допплерография)</v>
      </c>
      <c r="C48" s="673" t="str">
        <f>'[15]уровень цен'!C42</f>
        <v>исследование</v>
      </c>
      <c r="E48" s="674">
        <f>'[15]уровень цен'!D42</f>
        <v>30.7</v>
      </c>
      <c r="F48" s="678" t="s">
        <v>25</v>
      </c>
      <c r="G48" s="684">
        <f>'[15]30 эхокард тк.допп.'!O28</f>
        <v>0.55000000000000004</v>
      </c>
      <c r="H48" s="683"/>
      <c r="I48" s="674">
        <f>'[15]уровень цен'!E42</f>
        <v>38.369999999999997</v>
      </c>
      <c r="J48" s="678" t="s">
        <v>25</v>
      </c>
      <c r="K48" s="665">
        <f t="shared" si="7"/>
        <v>0</v>
      </c>
      <c r="L48" s="65">
        <f>0*L13/120</f>
        <v>0</v>
      </c>
      <c r="M48" s="65">
        <f t="shared" si="8"/>
        <v>0</v>
      </c>
      <c r="Q48" s="651"/>
    </row>
    <row r="49" spans="1:17" ht="75.75" thickBot="1" x14ac:dyDescent="0.3">
      <c r="A49" s="648">
        <v>44565</v>
      </c>
      <c r="B49" s="669" t="str">
        <f>[15]анализ!B42</f>
        <v>Ультразвуковая допплерография (УЗДГ) одного артериального бассейна (брахиоцефальных артерий или артерий верхних конечностей или артерий нижних конечностей)</v>
      </c>
      <c r="C49" s="667" t="str">
        <f>'[15]уровень цен'!C43</f>
        <v>исследование</v>
      </c>
      <c r="D49" s="685"/>
      <c r="E49" s="668">
        <f>'[15]уровень цен'!D43</f>
        <v>15.37</v>
      </c>
      <c r="F49" s="678" t="s">
        <v>25</v>
      </c>
      <c r="G49" s="288">
        <f>'[15]31 арт. басс.'!O28</f>
        <v>0.57999999999999996</v>
      </c>
      <c r="H49" s="666"/>
      <c r="I49" s="668">
        <f>'[15]уровень цен'!E43</f>
        <v>19.22</v>
      </c>
      <c r="J49" s="678" t="s">
        <v>25</v>
      </c>
      <c r="K49" s="665">
        <f t="shared" si="7"/>
        <v>2.0661157024793389E-6</v>
      </c>
      <c r="L49" s="65">
        <f>0*L13/120</f>
        <v>0</v>
      </c>
      <c r="M49" s="65">
        <f t="shared" si="8"/>
        <v>2.0661157024793389E-6</v>
      </c>
      <c r="Q49" s="651"/>
    </row>
    <row r="50" spans="1:17" ht="75.75" thickBot="1" x14ac:dyDescent="0.3">
      <c r="A50" s="648">
        <v>44596</v>
      </c>
      <c r="B50" s="669" t="str">
        <f>[15]анализ!B43</f>
        <v>Ультразвуковая допплерография (УЗДГ) одного венозного бассейна (брахиоцефальных вен или вен верхних конечностей или вен нижних конечностей)</v>
      </c>
      <c r="C50" s="667" t="str">
        <f>'[15]уровень цен'!C44</f>
        <v>исследование</v>
      </c>
      <c r="D50" s="426"/>
      <c r="E50" s="668">
        <f>'[15]уровень цен'!D44</f>
        <v>15.37</v>
      </c>
      <c r="F50" s="678" t="s">
        <v>25</v>
      </c>
      <c r="G50" s="288">
        <f>'[15]32 веноз.басс.'!O28</f>
        <v>0.57999999999999996</v>
      </c>
      <c r="H50" s="666"/>
      <c r="I50" s="668">
        <f>'[15]уровень цен'!E44</f>
        <v>19.22</v>
      </c>
      <c r="J50" s="678" t="s">
        <v>25</v>
      </c>
      <c r="K50" s="665">
        <f t="shared" si="7"/>
        <v>2.0661157024793389E-6</v>
      </c>
      <c r="L50" s="65">
        <f>0*L13/120</f>
        <v>0</v>
      </c>
      <c r="M50" s="65">
        <f t="shared" si="8"/>
        <v>2.0661157024793389E-6</v>
      </c>
      <c r="Q50" s="651"/>
    </row>
    <row r="51" spans="1:17" ht="92.25" customHeight="1" thickBot="1" x14ac:dyDescent="0.3">
      <c r="A51" s="648">
        <v>44624</v>
      </c>
      <c r="B51" s="669" t="str">
        <f>[15]анализ!B44</f>
        <v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v>
      </c>
      <c r="C51" s="667" t="str">
        <f>'[15]уровень цен'!C45</f>
        <v>исследование</v>
      </c>
      <c r="D51" s="686"/>
      <c r="E51" s="668">
        <f>'[15]уровень цен'!D45</f>
        <v>20.46</v>
      </c>
      <c r="F51" s="283" t="s">
        <v>25</v>
      </c>
      <c r="G51" s="288">
        <f>'[15]33 дуплексное'!O28</f>
        <v>0.57999999999999996</v>
      </c>
      <c r="H51" s="666"/>
      <c r="I51" s="668">
        <f>'[15]уровень цен'!E45</f>
        <v>25.58</v>
      </c>
      <c r="J51" s="283" t="s">
        <v>25</v>
      </c>
      <c r="K51" s="665">
        <f t="shared" si="7"/>
        <v>2.0661157024793389E-6</v>
      </c>
      <c r="L51" s="65">
        <f>0*L13/120</f>
        <v>0</v>
      </c>
      <c r="M51" s="65">
        <f t="shared" si="8"/>
        <v>2.0661157024793389E-6</v>
      </c>
      <c r="Q51" s="651"/>
    </row>
    <row r="52" spans="1:17" ht="45.75" hidden="1" thickBot="1" x14ac:dyDescent="0.3">
      <c r="A52" s="687">
        <v>44746</v>
      </c>
      <c r="B52" s="682" t="str">
        <f>[15]анализ!B45</f>
        <v>Транскраниальное дуплексное сканирование артерий или вен основания головного мозга</v>
      </c>
      <c r="C52" s="662" t="str">
        <f>'[15]уровень цен'!C46</f>
        <v>исследование</v>
      </c>
      <c r="E52" s="663">
        <f>'[15]уровень цен'!D46</f>
        <v>20.46</v>
      </c>
      <c r="F52" s="688" t="s">
        <v>25</v>
      </c>
      <c r="G52" s="366">
        <f>'[15]34 гол.мозг'!O28</f>
        <v>0.57999999999999996</v>
      </c>
      <c r="H52" s="661"/>
      <c r="I52" s="663">
        <f>'[15]уровень цен'!E46</f>
        <v>25.58</v>
      </c>
      <c r="J52" s="688" t="s">
        <v>25</v>
      </c>
      <c r="K52" s="665">
        <f t="shared" si="7"/>
        <v>2.0661157024793389E-6</v>
      </c>
      <c r="L52" s="65">
        <f>0*L13/120</f>
        <v>0</v>
      </c>
      <c r="M52" s="65">
        <f t="shared" si="8"/>
        <v>2.0661157024793389E-6</v>
      </c>
      <c r="Q52" s="651"/>
    </row>
    <row r="53" spans="1:17" ht="60.75" hidden="1" thickBot="1" x14ac:dyDescent="0.3">
      <c r="A53" s="648">
        <v>44777</v>
      </c>
      <c r="B53" s="669" t="str">
        <f>[15]анализ!B46</f>
        <v>Дуплексное сканирование сосудов с цветным и энергетическим допплером органов брюшной полости и забрюшинного пространства</v>
      </c>
      <c r="C53" s="667" t="str">
        <f>'[15]уровень цен'!C47</f>
        <v>исследование</v>
      </c>
      <c r="E53" s="668">
        <f>'[15]уровень цен'!D47</f>
        <v>20.46</v>
      </c>
      <c r="F53" s="678" t="s">
        <v>25</v>
      </c>
      <c r="G53" s="288">
        <f>'[15]35 брюш.полость'!O28</f>
        <v>0.57999999999999996</v>
      </c>
      <c r="H53" s="666"/>
      <c r="I53" s="668">
        <f>'[15]уровень цен'!E47</f>
        <v>25.58</v>
      </c>
      <c r="J53" s="678" t="s">
        <v>25</v>
      </c>
      <c r="K53" s="665">
        <f t="shared" si="7"/>
        <v>2.0661157024793389E-6</v>
      </c>
      <c r="L53" s="65">
        <f>0*L13/120</f>
        <v>0</v>
      </c>
      <c r="M53" s="65">
        <f t="shared" si="8"/>
        <v>2.0661157024793389E-6</v>
      </c>
      <c r="Q53" s="651"/>
    </row>
    <row r="54" spans="1:17" ht="30.75" hidden="1" thickBot="1" x14ac:dyDescent="0.3">
      <c r="A54" s="648">
        <v>44808</v>
      </c>
      <c r="B54" s="669" t="str">
        <f>[15]анализ!B47</f>
        <v>Дуплексное сканирование сосудов одного анатомического региона</v>
      </c>
      <c r="C54" s="667" t="str">
        <f>'[15]уровень цен'!C48</f>
        <v>исследование</v>
      </c>
      <c r="E54" s="668">
        <f>'[15]уровень цен'!D48</f>
        <v>10.26</v>
      </c>
      <c r="F54" s="283" t="s">
        <v>25</v>
      </c>
      <c r="G54" s="288">
        <f>'[15]36 один атом. рег.'!O28</f>
        <v>0.99</v>
      </c>
      <c r="H54" s="666"/>
      <c r="I54" s="668">
        <f>'[15]уровень цен'!E48</f>
        <v>12.83</v>
      </c>
      <c r="J54" s="283" t="s">
        <v>25</v>
      </c>
      <c r="K54" s="665">
        <f t="shared" si="7"/>
        <v>2.0661157024793389E-6</v>
      </c>
      <c r="L54" s="65">
        <f>0*L13/120</f>
        <v>0</v>
      </c>
      <c r="M54" s="65">
        <f t="shared" si="8"/>
        <v>2.0661157024793389E-6</v>
      </c>
      <c r="Q54" s="651"/>
    </row>
    <row r="55" spans="1:17" s="426" customFormat="1" ht="15.75" x14ac:dyDescent="0.25">
      <c r="A55" s="689"/>
      <c r="B55" s="516"/>
      <c r="E55" s="690"/>
      <c r="I55" s="690"/>
      <c r="Q55" s="651"/>
    </row>
    <row r="56" spans="1:17" x14ac:dyDescent="0.25">
      <c r="A56" s="10" t="s">
        <v>353</v>
      </c>
      <c r="B56" s="87"/>
      <c r="C56" s="10"/>
      <c r="D56" s="10"/>
      <c r="E56" s="10"/>
      <c r="F56" s="10"/>
      <c r="G56" s="10"/>
      <c r="H56" s="10"/>
      <c r="I56" s="10" t="s">
        <v>56</v>
      </c>
      <c r="J56" s="10"/>
      <c r="Q56" s="651"/>
    </row>
    <row r="57" spans="1:17" x14ac:dyDescent="0.25">
      <c r="A57" s="10"/>
      <c r="B57" s="87"/>
      <c r="C57" s="10"/>
      <c r="D57" s="10"/>
      <c r="E57" s="10"/>
      <c r="F57" s="10"/>
      <c r="G57" s="10"/>
      <c r="H57" s="10"/>
      <c r="I57" s="10"/>
      <c r="J57" s="10"/>
      <c r="Q57" s="651"/>
    </row>
    <row r="58" spans="1:17" x14ac:dyDescent="0.25">
      <c r="A58" s="10" t="s">
        <v>82</v>
      </c>
      <c r="B58" s="10"/>
      <c r="C58" s="10"/>
      <c r="D58" s="10"/>
      <c r="E58" s="10"/>
      <c r="H58" s="10"/>
      <c r="I58" s="113" t="s">
        <v>83</v>
      </c>
      <c r="J58" s="10"/>
      <c r="Q58" s="651"/>
    </row>
    <row r="59" spans="1:17" x14ac:dyDescent="0.25">
      <c r="A59" s="10"/>
      <c r="B59" s="10"/>
      <c r="C59" s="10"/>
      <c r="D59" s="10"/>
      <c r="E59" s="10"/>
      <c r="H59" s="10"/>
      <c r="I59" s="113"/>
      <c r="J59" s="10"/>
      <c r="Q59" s="651"/>
    </row>
    <row r="60" spans="1:17" x14ac:dyDescent="0.25">
      <c r="A60" s="10" t="s">
        <v>165</v>
      </c>
      <c r="B60" s="10"/>
      <c r="C60" s="10"/>
      <c r="D60" s="10"/>
      <c r="E60" s="10"/>
      <c r="H60" s="10"/>
      <c r="I60" s="113" t="s">
        <v>58</v>
      </c>
      <c r="J60" s="10"/>
      <c r="Q60" s="651"/>
    </row>
    <row r="61" spans="1:17" x14ac:dyDescent="0.25">
      <c r="A61" s="10"/>
      <c r="B61" s="10"/>
      <c r="C61" s="10"/>
      <c r="D61" s="10"/>
      <c r="E61" s="10"/>
      <c r="H61" s="10"/>
      <c r="I61" s="113"/>
      <c r="J61" s="10"/>
      <c r="Q61" s="651"/>
    </row>
    <row r="62" spans="1:17" x14ac:dyDescent="0.25">
      <c r="A62" s="10" t="s">
        <v>85</v>
      </c>
      <c r="B62" s="10"/>
      <c r="C62" s="10"/>
      <c r="D62" s="10"/>
      <c r="E62" s="10"/>
      <c r="H62" s="10"/>
      <c r="I62" s="113" t="s">
        <v>60</v>
      </c>
      <c r="J62" s="10"/>
    </row>
    <row r="63" spans="1:17" x14ac:dyDescent="0.25">
      <c r="A63" s="10" t="s">
        <v>62</v>
      </c>
      <c r="B63" s="10"/>
      <c r="C63" s="10"/>
      <c r="D63" s="10"/>
      <c r="E63" s="10"/>
      <c r="F63" s="113"/>
      <c r="G63" s="10"/>
      <c r="H63" s="10"/>
      <c r="I63" s="10"/>
      <c r="J63" s="426"/>
    </row>
    <row r="64" spans="1:17" x14ac:dyDescent="0.25">
      <c r="A64" s="10" t="s">
        <v>354</v>
      </c>
      <c r="B64" s="10"/>
      <c r="C64" s="10"/>
      <c r="D64" s="10"/>
      <c r="E64" s="10"/>
      <c r="F64" s="113"/>
      <c r="H64" s="10"/>
      <c r="I64" s="10" t="s">
        <v>355</v>
      </c>
      <c r="J64" s="426"/>
    </row>
    <row r="65" spans="1:10" x14ac:dyDescent="0.25">
      <c r="A65" s="10"/>
      <c r="B65" s="87"/>
      <c r="C65" s="10"/>
      <c r="D65" s="10"/>
      <c r="E65" s="10"/>
      <c r="F65" s="10"/>
      <c r="G65" s="10"/>
      <c r="H65" s="10"/>
      <c r="I65" s="10"/>
      <c r="J65" s="426"/>
    </row>
  </sheetData>
  <mergeCells count="17">
    <mergeCell ref="F3:I3"/>
    <mergeCell ref="A7:J7"/>
    <mergeCell ref="A8:J8"/>
    <mergeCell ref="A9:J9"/>
    <mergeCell ref="A10:J10"/>
    <mergeCell ref="B45:J45"/>
    <mergeCell ref="H12:J12"/>
    <mergeCell ref="K12:M12"/>
    <mergeCell ref="A14:J14"/>
    <mergeCell ref="B15:J15"/>
    <mergeCell ref="B22:J22"/>
    <mergeCell ref="B35:J35"/>
    <mergeCell ref="A12:A13"/>
    <mergeCell ref="B12:B13"/>
    <mergeCell ref="C12:C13"/>
    <mergeCell ref="E12:F12"/>
    <mergeCell ref="G12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4" workbookViewId="0">
      <selection activeCell="M12" sqref="M12"/>
    </sheetView>
  </sheetViews>
  <sheetFormatPr defaultRowHeight="15" x14ac:dyDescent="0.25"/>
  <cols>
    <col min="1" max="1" width="6.42578125" style="3" customWidth="1"/>
    <col min="2" max="2" width="51.42578125" style="3" customWidth="1"/>
    <col min="3" max="3" width="12.5703125" style="3" customWidth="1"/>
    <col min="4" max="4" width="12.140625" style="3" customWidth="1"/>
    <col min="5" max="5" width="13.28515625" style="3" customWidth="1"/>
    <col min="6" max="6" width="12.85546875" style="3" customWidth="1"/>
    <col min="7" max="7" width="12.140625" style="3" customWidth="1"/>
    <col min="8" max="8" width="9.140625" style="3"/>
    <col min="9" max="9" width="9.5703125" style="3" customWidth="1"/>
    <col min="10" max="256" width="9.140625" style="3"/>
    <col min="257" max="257" width="6.42578125" style="3" customWidth="1"/>
    <col min="258" max="258" width="51.42578125" style="3" customWidth="1"/>
    <col min="259" max="259" width="12.5703125" style="3" customWidth="1"/>
    <col min="260" max="260" width="12.140625" style="3" customWidth="1"/>
    <col min="261" max="261" width="13.28515625" style="3" customWidth="1"/>
    <col min="262" max="262" width="12.85546875" style="3" customWidth="1"/>
    <col min="263" max="263" width="12.140625" style="3" customWidth="1"/>
    <col min="264" max="264" width="9.140625" style="3"/>
    <col min="265" max="265" width="9.5703125" style="3" customWidth="1"/>
    <col min="266" max="512" width="9.140625" style="3"/>
    <col min="513" max="513" width="6.42578125" style="3" customWidth="1"/>
    <col min="514" max="514" width="51.42578125" style="3" customWidth="1"/>
    <col min="515" max="515" width="12.5703125" style="3" customWidth="1"/>
    <col min="516" max="516" width="12.140625" style="3" customWidth="1"/>
    <col min="517" max="517" width="13.28515625" style="3" customWidth="1"/>
    <col min="518" max="518" width="12.85546875" style="3" customWidth="1"/>
    <col min="519" max="519" width="12.140625" style="3" customWidth="1"/>
    <col min="520" max="520" width="9.140625" style="3"/>
    <col min="521" max="521" width="9.5703125" style="3" customWidth="1"/>
    <col min="522" max="768" width="9.140625" style="3"/>
    <col min="769" max="769" width="6.42578125" style="3" customWidth="1"/>
    <col min="770" max="770" width="51.42578125" style="3" customWidth="1"/>
    <col min="771" max="771" width="12.5703125" style="3" customWidth="1"/>
    <col min="772" max="772" width="12.140625" style="3" customWidth="1"/>
    <col min="773" max="773" width="13.28515625" style="3" customWidth="1"/>
    <col min="774" max="774" width="12.85546875" style="3" customWidth="1"/>
    <col min="775" max="775" width="12.140625" style="3" customWidth="1"/>
    <col min="776" max="776" width="9.140625" style="3"/>
    <col min="777" max="777" width="9.5703125" style="3" customWidth="1"/>
    <col min="778" max="1024" width="9.140625" style="3"/>
    <col min="1025" max="1025" width="6.42578125" style="3" customWidth="1"/>
    <col min="1026" max="1026" width="51.42578125" style="3" customWidth="1"/>
    <col min="1027" max="1027" width="12.5703125" style="3" customWidth="1"/>
    <col min="1028" max="1028" width="12.140625" style="3" customWidth="1"/>
    <col min="1029" max="1029" width="13.28515625" style="3" customWidth="1"/>
    <col min="1030" max="1030" width="12.85546875" style="3" customWidth="1"/>
    <col min="1031" max="1031" width="12.140625" style="3" customWidth="1"/>
    <col min="1032" max="1032" width="9.140625" style="3"/>
    <col min="1033" max="1033" width="9.5703125" style="3" customWidth="1"/>
    <col min="1034" max="1280" width="9.140625" style="3"/>
    <col min="1281" max="1281" width="6.42578125" style="3" customWidth="1"/>
    <col min="1282" max="1282" width="51.42578125" style="3" customWidth="1"/>
    <col min="1283" max="1283" width="12.5703125" style="3" customWidth="1"/>
    <col min="1284" max="1284" width="12.140625" style="3" customWidth="1"/>
    <col min="1285" max="1285" width="13.28515625" style="3" customWidth="1"/>
    <col min="1286" max="1286" width="12.85546875" style="3" customWidth="1"/>
    <col min="1287" max="1287" width="12.140625" style="3" customWidth="1"/>
    <col min="1288" max="1288" width="9.140625" style="3"/>
    <col min="1289" max="1289" width="9.5703125" style="3" customWidth="1"/>
    <col min="1290" max="1536" width="9.140625" style="3"/>
    <col min="1537" max="1537" width="6.42578125" style="3" customWidth="1"/>
    <col min="1538" max="1538" width="51.42578125" style="3" customWidth="1"/>
    <col min="1539" max="1539" width="12.5703125" style="3" customWidth="1"/>
    <col min="1540" max="1540" width="12.140625" style="3" customWidth="1"/>
    <col min="1541" max="1541" width="13.28515625" style="3" customWidth="1"/>
    <col min="1542" max="1542" width="12.85546875" style="3" customWidth="1"/>
    <col min="1543" max="1543" width="12.140625" style="3" customWidth="1"/>
    <col min="1544" max="1544" width="9.140625" style="3"/>
    <col min="1545" max="1545" width="9.5703125" style="3" customWidth="1"/>
    <col min="1546" max="1792" width="9.140625" style="3"/>
    <col min="1793" max="1793" width="6.42578125" style="3" customWidth="1"/>
    <col min="1794" max="1794" width="51.42578125" style="3" customWidth="1"/>
    <col min="1795" max="1795" width="12.5703125" style="3" customWidth="1"/>
    <col min="1796" max="1796" width="12.140625" style="3" customWidth="1"/>
    <col min="1797" max="1797" width="13.28515625" style="3" customWidth="1"/>
    <col min="1798" max="1798" width="12.85546875" style="3" customWidth="1"/>
    <col min="1799" max="1799" width="12.140625" style="3" customWidth="1"/>
    <col min="1800" max="1800" width="9.140625" style="3"/>
    <col min="1801" max="1801" width="9.5703125" style="3" customWidth="1"/>
    <col min="1802" max="2048" width="9.140625" style="3"/>
    <col min="2049" max="2049" width="6.42578125" style="3" customWidth="1"/>
    <col min="2050" max="2050" width="51.42578125" style="3" customWidth="1"/>
    <col min="2051" max="2051" width="12.5703125" style="3" customWidth="1"/>
    <col min="2052" max="2052" width="12.140625" style="3" customWidth="1"/>
    <col min="2053" max="2053" width="13.28515625" style="3" customWidth="1"/>
    <col min="2054" max="2054" width="12.85546875" style="3" customWidth="1"/>
    <col min="2055" max="2055" width="12.140625" style="3" customWidth="1"/>
    <col min="2056" max="2056" width="9.140625" style="3"/>
    <col min="2057" max="2057" width="9.5703125" style="3" customWidth="1"/>
    <col min="2058" max="2304" width="9.140625" style="3"/>
    <col min="2305" max="2305" width="6.42578125" style="3" customWidth="1"/>
    <col min="2306" max="2306" width="51.42578125" style="3" customWidth="1"/>
    <col min="2307" max="2307" width="12.5703125" style="3" customWidth="1"/>
    <col min="2308" max="2308" width="12.140625" style="3" customWidth="1"/>
    <col min="2309" max="2309" width="13.28515625" style="3" customWidth="1"/>
    <col min="2310" max="2310" width="12.85546875" style="3" customWidth="1"/>
    <col min="2311" max="2311" width="12.140625" style="3" customWidth="1"/>
    <col min="2312" max="2312" width="9.140625" style="3"/>
    <col min="2313" max="2313" width="9.5703125" style="3" customWidth="1"/>
    <col min="2314" max="2560" width="9.140625" style="3"/>
    <col min="2561" max="2561" width="6.42578125" style="3" customWidth="1"/>
    <col min="2562" max="2562" width="51.42578125" style="3" customWidth="1"/>
    <col min="2563" max="2563" width="12.5703125" style="3" customWidth="1"/>
    <col min="2564" max="2564" width="12.140625" style="3" customWidth="1"/>
    <col min="2565" max="2565" width="13.28515625" style="3" customWidth="1"/>
    <col min="2566" max="2566" width="12.85546875" style="3" customWidth="1"/>
    <col min="2567" max="2567" width="12.140625" style="3" customWidth="1"/>
    <col min="2568" max="2568" width="9.140625" style="3"/>
    <col min="2569" max="2569" width="9.5703125" style="3" customWidth="1"/>
    <col min="2570" max="2816" width="9.140625" style="3"/>
    <col min="2817" max="2817" width="6.42578125" style="3" customWidth="1"/>
    <col min="2818" max="2818" width="51.42578125" style="3" customWidth="1"/>
    <col min="2819" max="2819" width="12.5703125" style="3" customWidth="1"/>
    <col min="2820" max="2820" width="12.140625" style="3" customWidth="1"/>
    <col min="2821" max="2821" width="13.28515625" style="3" customWidth="1"/>
    <col min="2822" max="2822" width="12.85546875" style="3" customWidth="1"/>
    <col min="2823" max="2823" width="12.140625" style="3" customWidth="1"/>
    <col min="2824" max="2824" width="9.140625" style="3"/>
    <col min="2825" max="2825" width="9.5703125" style="3" customWidth="1"/>
    <col min="2826" max="3072" width="9.140625" style="3"/>
    <col min="3073" max="3073" width="6.42578125" style="3" customWidth="1"/>
    <col min="3074" max="3074" width="51.42578125" style="3" customWidth="1"/>
    <col min="3075" max="3075" width="12.5703125" style="3" customWidth="1"/>
    <col min="3076" max="3076" width="12.140625" style="3" customWidth="1"/>
    <col min="3077" max="3077" width="13.28515625" style="3" customWidth="1"/>
    <col min="3078" max="3078" width="12.85546875" style="3" customWidth="1"/>
    <col min="3079" max="3079" width="12.140625" style="3" customWidth="1"/>
    <col min="3080" max="3080" width="9.140625" style="3"/>
    <col min="3081" max="3081" width="9.5703125" style="3" customWidth="1"/>
    <col min="3082" max="3328" width="9.140625" style="3"/>
    <col min="3329" max="3329" width="6.42578125" style="3" customWidth="1"/>
    <col min="3330" max="3330" width="51.42578125" style="3" customWidth="1"/>
    <col min="3331" max="3331" width="12.5703125" style="3" customWidth="1"/>
    <col min="3332" max="3332" width="12.140625" style="3" customWidth="1"/>
    <col min="3333" max="3333" width="13.28515625" style="3" customWidth="1"/>
    <col min="3334" max="3334" width="12.85546875" style="3" customWidth="1"/>
    <col min="3335" max="3335" width="12.140625" style="3" customWidth="1"/>
    <col min="3336" max="3336" width="9.140625" style="3"/>
    <col min="3337" max="3337" width="9.5703125" style="3" customWidth="1"/>
    <col min="3338" max="3584" width="9.140625" style="3"/>
    <col min="3585" max="3585" width="6.42578125" style="3" customWidth="1"/>
    <col min="3586" max="3586" width="51.42578125" style="3" customWidth="1"/>
    <col min="3587" max="3587" width="12.5703125" style="3" customWidth="1"/>
    <col min="3588" max="3588" width="12.140625" style="3" customWidth="1"/>
    <col min="3589" max="3589" width="13.28515625" style="3" customWidth="1"/>
    <col min="3590" max="3590" width="12.85546875" style="3" customWidth="1"/>
    <col min="3591" max="3591" width="12.140625" style="3" customWidth="1"/>
    <col min="3592" max="3592" width="9.140625" style="3"/>
    <col min="3593" max="3593" width="9.5703125" style="3" customWidth="1"/>
    <col min="3594" max="3840" width="9.140625" style="3"/>
    <col min="3841" max="3841" width="6.42578125" style="3" customWidth="1"/>
    <col min="3842" max="3842" width="51.42578125" style="3" customWidth="1"/>
    <col min="3843" max="3843" width="12.5703125" style="3" customWidth="1"/>
    <col min="3844" max="3844" width="12.140625" style="3" customWidth="1"/>
    <col min="3845" max="3845" width="13.28515625" style="3" customWidth="1"/>
    <col min="3846" max="3846" width="12.85546875" style="3" customWidth="1"/>
    <col min="3847" max="3847" width="12.140625" style="3" customWidth="1"/>
    <col min="3848" max="3848" width="9.140625" style="3"/>
    <col min="3849" max="3849" width="9.5703125" style="3" customWidth="1"/>
    <col min="3850" max="4096" width="9.140625" style="3"/>
    <col min="4097" max="4097" width="6.42578125" style="3" customWidth="1"/>
    <col min="4098" max="4098" width="51.42578125" style="3" customWidth="1"/>
    <col min="4099" max="4099" width="12.5703125" style="3" customWidth="1"/>
    <col min="4100" max="4100" width="12.140625" style="3" customWidth="1"/>
    <col min="4101" max="4101" width="13.28515625" style="3" customWidth="1"/>
    <col min="4102" max="4102" width="12.85546875" style="3" customWidth="1"/>
    <col min="4103" max="4103" width="12.140625" style="3" customWidth="1"/>
    <col min="4104" max="4104" width="9.140625" style="3"/>
    <col min="4105" max="4105" width="9.5703125" style="3" customWidth="1"/>
    <col min="4106" max="4352" width="9.140625" style="3"/>
    <col min="4353" max="4353" width="6.42578125" style="3" customWidth="1"/>
    <col min="4354" max="4354" width="51.42578125" style="3" customWidth="1"/>
    <col min="4355" max="4355" width="12.5703125" style="3" customWidth="1"/>
    <col min="4356" max="4356" width="12.140625" style="3" customWidth="1"/>
    <col min="4357" max="4357" width="13.28515625" style="3" customWidth="1"/>
    <col min="4358" max="4358" width="12.85546875" style="3" customWidth="1"/>
    <col min="4359" max="4359" width="12.140625" style="3" customWidth="1"/>
    <col min="4360" max="4360" width="9.140625" style="3"/>
    <col min="4361" max="4361" width="9.5703125" style="3" customWidth="1"/>
    <col min="4362" max="4608" width="9.140625" style="3"/>
    <col min="4609" max="4609" width="6.42578125" style="3" customWidth="1"/>
    <col min="4610" max="4610" width="51.42578125" style="3" customWidth="1"/>
    <col min="4611" max="4611" width="12.5703125" style="3" customWidth="1"/>
    <col min="4612" max="4612" width="12.140625" style="3" customWidth="1"/>
    <col min="4613" max="4613" width="13.28515625" style="3" customWidth="1"/>
    <col min="4614" max="4614" width="12.85546875" style="3" customWidth="1"/>
    <col min="4615" max="4615" width="12.140625" style="3" customWidth="1"/>
    <col min="4616" max="4616" width="9.140625" style="3"/>
    <col min="4617" max="4617" width="9.5703125" style="3" customWidth="1"/>
    <col min="4618" max="4864" width="9.140625" style="3"/>
    <col min="4865" max="4865" width="6.42578125" style="3" customWidth="1"/>
    <col min="4866" max="4866" width="51.42578125" style="3" customWidth="1"/>
    <col min="4867" max="4867" width="12.5703125" style="3" customWidth="1"/>
    <col min="4868" max="4868" width="12.140625" style="3" customWidth="1"/>
    <col min="4869" max="4869" width="13.28515625" style="3" customWidth="1"/>
    <col min="4870" max="4870" width="12.85546875" style="3" customWidth="1"/>
    <col min="4871" max="4871" width="12.140625" style="3" customWidth="1"/>
    <col min="4872" max="4872" width="9.140625" style="3"/>
    <col min="4873" max="4873" width="9.5703125" style="3" customWidth="1"/>
    <col min="4874" max="5120" width="9.140625" style="3"/>
    <col min="5121" max="5121" width="6.42578125" style="3" customWidth="1"/>
    <col min="5122" max="5122" width="51.42578125" style="3" customWidth="1"/>
    <col min="5123" max="5123" width="12.5703125" style="3" customWidth="1"/>
    <col min="5124" max="5124" width="12.140625" style="3" customWidth="1"/>
    <col min="5125" max="5125" width="13.28515625" style="3" customWidth="1"/>
    <col min="5126" max="5126" width="12.85546875" style="3" customWidth="1"/>
    <col min="5127" max="5127" width="12.140625" style="3" customWidth="1"/>
    <col min="5128" max="5128" width="9.140625" style="3"/>
    <col min="5129" max="5129" width="9.5703125" style="3" customWidth="1"/>
    <col min="5130" max="5376" width="9.140625" style="3"/>
    <col min="5377" max="5377" width="6.42578125" style="3" customWidth="1"/>
    <col min="5378" max="5378" width="51.42578125" style="3" customWidth="1"/>
    <col min="5379" max="5379" width="12.5703125" style="3" customWidth="1"/>
    <col min="5380" max="5380" width="12.140625" style="3" customWidth="1"/>
    <col min="5381" max="5381" width="13.28515625" style="3" customWidth="1"/>
    <col min="5382" max="5382" width="12.85546875" style="3" customWidth="1"/>
    <col min="5383" max="5383" width="12.140625" style="3" customWidth="1"/>
    <col min="5384" max="5384" width="9.140625" style="3"/>
    <col min="5385" max="5385" width="9.5703125" style="3" customWidth="1"/>
    <col min="5386" max="5632" width="9.140625" style="3"/>
    <col min="5633" max="5633" width="6.42578125" style="3" customWidth="1"/>
    <col min="5634" max="5634" width="51.42578125" style="3" customWidth="1"/>
    <col min="5635" max="5635" width="12.5703125" style="3" customWidth="1"/>
    <col min="5636" max="5636" width="12.140625" style="3" customWidth="1"/>
    <col min="5637" max="5637" width="13.28515625" style="3" customWidth="1"/>
    <col min="5638" max="5638" width="12.85546875" style="3" customWidth="1"/>
    <col min="5639" max="5639" width="12.140625" style="3" customWidth="1"/>
    <col min="5640" max="5640" width="9.140625" style="3"/>
    <col min="5641" max="5641" width="9.5703125" style="3" customWidth="1"/>
    <col min="5642" max="5888" width="9.140625" style="3"/>
    <col min="5889" max="5889" width="6.42578125" style="3" customWidth="1"/>
    <col min="5890" max="5890" width="51.42578125" style="3" customWidth="1"/>
    <col min="5891" max="5891" width="12.5703125" style="3" customWidth="1"/>
    <col min="5892" max="5892" width="12.140625" style="3" customWidth="1"/>
    <col min="5893" max="5893" width="13.28515625" style="3" customWidth="1"/>
    <col min="5894" max="5894" width="12.85546875" style="3" customWidth="1"/>
    <col min="5895" max="5895" width="12.140625" style="3" customWidth="1"/>
    <col min="5896" max="5896" width="9.140625" style="3"/>
    <col min="5897" max="5897" width="9.5703125" style="3" customWidth="1"/>
    <col min="5898" max="6144" width="9.140625" style="3"/>
    <col min="6145" max="6145" width="6.42578125" style="3" customWidth="1"/>
    <col min="6146" max="6146" width="51.42578125" style="3" customWidth="1"/>
    <col min="6147" max="6147" width="12.5703125" style="3" customWidth="1"/>
    <col min="6148" max="6148" width="12.140625" style="3" customWidth="1"/>
    <col min="6149" max="6149" width="13.28515625" style="3" customWidth="1"/>
    <col min="6150" max="6150" width="12.85546875" style="3" customWidth="1"/>
    <col min="6151" max="6151" width="12.140625" style="3" customWidth="1"/>
    <col min="6152" max="6152" width="9.140625" style="3"/>
    <col min="6153" max="6153" width="9.5703125" style="3" customWidth="1"/>
    <col min="6154" max="6400" width="9.140625" style="3"/>
    <col min="6401" max="6401" width="6.42578125" style="3" customWidth="1"/>
    <col min="6402" max="6402" width="51.42578125" style="3" customWidth="1"/>
    <col min="6403" max="6403" width="12.5703125" style="3" customWidth="1"/>
    <col min="6404" max="6404" width="12.140625" style="3" customWidth="1"/>
    <col min="6405" max="6405" width="13.28515625" style="3" customWidth="1"/>
    <col min="6406" max="6406" width="12.85546875" style="3" customWidth="1"/>
    <col min="6407" max="6407" width="12.140625" style="3" customWidth="1"/>
    <col min="6408" max="6408" width="9.140625" style="3"/>
    <col min="6409" max="6409" width="9.5703125" style="3" customWidth="1"/>
    <col min="6410" max="6656" width="9.140625" style="3"/>
    <col min="6657" max="6657" width="6.42578125" style="3" customWidth="1"/>
    <col min="6658" max="6658" width="51.42578125" style="3" customWidth="1"/>
    <col min="6659" max="6659" width="12.5703125" style="3" customWidth="1"/>
    <col min="6660" max="6660" width="12.140625" style="3" customWidth="1"/>
    <col min="6661" max="6661" width="13.28515625" style="3" customWidth="1"/>
    <col min="6662" max="6662" width="12.85546875" style="3" customWidth="1"/>
    <col min="6663" max="6663" width="12.140625" style="3" customWidth="1"/>
    <col min="6664" max="6664" width="9.140625" style="3"/>
    <col min="6665" max="6665" width="9.5703125" style="3" customWidth="1"/>
    <col min="6666" max="6912" width="9.140625" style="3"/>
    <col min="6913" max="6913" width="6.42578125" style="3" customWidth="1"/>
    <col min="6914" max="6914" width="51.42578125" style="3" customWidth="1"/>
    <col min="6915" max="6915" width="12.5703125" style="3" customWidth="1"/>
    <col min="6916" max="6916" width="12.140625" style="3" customWidth="1"/>
    <col min="6917" max="6917" width="13.28515625" style="3" customWidth="1"/>
    <col min="6918" max="6918" width="12.85546875" style="3" customWidth="1"/>
    <col min="6919" max="6919" width="12.140625" style="3" customWidth="1"/>
    <col min="6920" max="6920" width="9.140625" style="3"/>
    <col min="6921" max="6921" width="9.5703125" style="3" customWidth="1"/>
    <col min="6922" max="7168" width="9.140625" style="3"/>
    <col min="7169" max="7169" width="6.42578125" style="3" customWidth="1"/>
    <col min="7170" max="7170" width="51.42578125" style="3" customWidth="1"/>
    <col min="7171" max="7171" width="12.5703125" style="3" customWidth="1"/>
    <col min="7172" max="7172" width="12.140625" style="3" customWidth="1"/>
    <col min="7173" max="7173" width="13.28515625" style="3" customWidth="1"/>
    <col min="7174" max="7174" width="12.85546875" style="3" customWidth="1"/>
    <col min="7175" max="7175" width="12.140625" style="3" customWidth="1"/>
    <col min="7176" max="7176" width="9.140625" style="3"/>
    <col min="7177" max="7177" width="9.5703125" style="3" customWidth="1"/>
    <col min="7178" max="7424" width="9.140625" style="3"/>
    <col min="7425" max="7425" width="6.42578125" style="3" customWidth="1"/>
    <col min="7426" max="7426" width="51.42578125" style="3" customWidth="1"/>
    <col min="7427" max="7427" width="12.5703125" style="3" customWidth="1"/>
    <col min="7428" max="7428" width="12.140625" style="3" customWidth="1"/>
    <col min="7429" max="7429" width="13.28515625" style="3" customWidth="1"/>
    <col min="7430" max="7430" width="12.85546875" style="3" customWidth="1"/>
    <col min="7431" max="7431" width="12.140625" style="3" customWidth="1"/>
    <col min="7432" max="7432" width="9.140625" style="3"/>
    <col min="7433" max="7433" width="9.5703125" style="3" customWidth="1"/>
    <col min="7434" max="7680" width="9.140625" style="3"/>
    <col min="7681" max="7681" width="6.42578125" style="3" customWidth="1"/>
    <col min="7682" max="7682" width="51.42578125" style="3" customWidth="1"/>
    <col min="7683" max="7683" width="12.5703125" style="3" customWidth="1"/>
    <col min="7684" max="7684" width="12.140625" style="3" customWidth="1"/>
    <col min="7685" max="7685" width="13.28515625" style="3" customWidth="1"/>
    <col min="7686" max="7686" width="12.85546875" style="3" customWidth="1"/>
    <col min="7687" max="7687" width="12.140625" style="3" customWidth="1"/>
    <col min="7688" max="7688" width="9.140625" style="3"/>
    <col min="7689" max="7689" width="9.5703125" style="3" customWidth="1"/>
    <col min="7690" max="7936" width="9.140625" style="3"/>
    <col min="7937" max="7937" width="6.42578125" style="3" customWidth="1"/>
    <col min="7938" max="7938" width="51.42578125" style="3" customWidth="1"/>
    <col min="7939" max="7939" width="12.5703125" style="3" customWidth="1"/>
    <col min="7940" max="7940" width="12.140625" style="3" customWidth="1"/>
    <col min="7941" max="7941" width="13.28515625" style="3" customWidth="1"/>
    <col min="7942" max="7942" width="12.85546875" style="3" customWidth="1"/>
    <col min="7943" max="7943" width="12.140625" style="3" customWidth="1"/>
    <col min="7944" max="7944" width="9.140625" style="3"/>
    <col min="7945" max="7945" width="9.5703125" style="3" customWidth="1"/>
    <col min="7946" max="8192" width="9.140625" style="3"/>
    <col min="8193" max="8193" width="6.42578125" style="3" customWidth="1"/>
    <col min="8194" max="8194" width="51.42578125" style="3" customWidth="1"/>
    <col min="8195" max="8195" width="12.5703125" style="3" customWidth="1"/>
    <col min="8196" max="8196" width="12.140625" style="3" customWidth="1"/>
    <col min="8197" max="8197" width="13.28515625" style="3" customWidth="1"/>
    <col min="8198" max="8198" width="12.85546875" style="3" customWidth="1"/>
    <col min="8199" max="8199" width="12.140625" style="3" customWidth="1"/>
    <col min="8200" max="8200" width="9.140625" style="3"/>
    <col min="8201" max="8201" width="9.5703125" style="3" customWidth="1"/>
    <col min="8202" max="8448" width="9.140625" style="3"/>
    <col min="8449" max="8449" width="6.42578125" style="3" customWidth="1"/>
    <col min="8450" max="8450" width="51.42578125" style="3" customWidth="1"/>
    <col min="8451" max="8451" width="12.5703125" style="3" customWidth="1"/>
    <col min="8452" max="8452" width="12.140625" style="3" customWidth="1"/>
    <col min="8453" max="8453" width="13.28515625" style="3" customWidth="1"/>
    <col min="8454" max="8454" width="12.85546875" style="3" customWidth="1"/>
    <col min="8455" max="8455" width="12.140625" style="3" customWidth="1"/>
    <col min="8456" max="8456" width="9.140625" style="3"/>
    <col min="8457" max="8457" width="9.5703125" style="3" customWidth="1"/>
    <col min="8458" max="8704" width="9.140625" style="3"/>
    <col min="8705" max="8705" width="6.42578125" style="3" customWidth="1"/>
    <col min="8706" max="8706" width="51.42578125" style="3" customWidth="1"/>
    <col min="8707" max="8707" width="12.5703125" style="3" customWidth="1"/>
    <col min="8708" max="8708" width="12.140625" style="3" customWidth="1"/>
    <col min="8709" max="8709" width="13.28515625" style="3" customWidth="1"/>
    <col min="8710" max="8710" width="12.85546875" style="3" customWidth="1"/>
    <col min="8711" max="8711" width="12.140625" style="3" customWidth="1"/>
    <col min="8712" max="8712" width="9.140625" style="3"/>
    <col min="8713" max="8713" width="9.5703125" style="3" customWidth="1"/>
    <col min="8714" max="8960" width="9.140625" style="3"/>
    <col min="8961" max="8961" width="6.42578125" style="3" customWidth="1"/>
    <col min="8962" max="8962" width="51.42578125" style="3" customWidth="1"/>
    <col min="8963" max="8963" width="12.5703125" style="3" customWidth="1"/>
    <col min="8964" max="8964" width="12.140625" style="3" customWidth="1"/>
    <col min="8965" max="8965" width="13.28515625" style="3" customWidth="1"/>
    <col min="8966" max="8966" width="12.85546875" style="3" customWidth="1"/>
    <col min="8967" max="8967" width="12.140625" style="3" customWidth="1"/>
    <col min="8968" max="8968" width="9.140625" style="3"/>
    <col min="8969" max="8969" width="9.5703125" style="3" customWidth="1"/>
    <col min="8970" max="9216" width="9.140625" style="3"/>
    <col min="9217" max="9217" width="6.42578125" style="3" customWidth="1"/>
    <col min="9218" max="9218" width="51.42578125" style="3" customWidth="1"/>
    <col min="9219" max="9219" width="12.5703125" style="3" customWidth="1"/>
    <col min="9220" max="9220" width="12.140625" style="3" customWidth="1"/>
    <col min="9221" max="9221" width="13.28515625" style="3" customWidth="1"/>
    <col min="9222" max="9222" width="12.85546875" style="3" customWidth="1"/>
    <col min="9223" max="9223" width="12.140625" style="3" customWidth="1"/>
    <col min="9224" max="9224" width="9.140625" style="3"/>
    <col min="9225" max="9225" width="9.5703125" style="3" customWidth="1"/>
    <col min="9226" max="9472" width="9.140625" style="3"/>
    <col min="9473" max="9473" width="6.42578125" style="3" customWidth="1"/>
    <col min="9474" max="9474" width="51.42578125" style="3" customWidth="1"/>
    <col min="9475" max="9475" width="12.5703125" style="3" customWidth="1"/>
    <col min="9476" max="9476" width="12.140625" style="3" customWidth="1"/>
    <col min="9477" max="9477" width="13.28515625" style="3" customWidth="1"/>
    <col min="9478" max="9478" width="12.85546875" style="3" customWidth="1"/>
    <col min="9479" max="9479" width="12.140625" style="3" customWidth="1"/>
    <col min="9480" max="9480" width="9.140625" style="3"/>
    <col min="9481" max="9481" width="9.5703125" style="3" customWidth="1"/>
    <col min="9482" max="9728" width="9.140625" style="3"/>
    <col min="9729" max="9729" width="6.42578125" style="3" customWidth="1"/>
    <col min="9730" max="9730" width="51.42578125" style="3" customWidth="1"/>
    <col min="9731" max="9731" width="12.5703125" style="3" customWidth="1"/>
    <col min="9732" max="9732" width="12.140625" style="3" customWidth="1"/>
    <col min="9733" max="9733" width="13.28515625" style="3" customWidth="1"/>
    <col min="9734" max="9734" width="12.85546875" style="3" customWidth="1"/>
    <col min="9735" max="9735" width="12.140625" style="3" customWidth="1"/>
    <col min="9736" max="9736" width="9.140625" style="3"/>
    <col min="9737" max="9737" width="9.5703125" style="3" customWidth="1"/>
    <col min="9738" max="9984" width="9.140625" style="3"/>
    <col min="9985" max="9985" width="6.42578125" style="3" customWidth="1"/>
    <col min="9986" max="9986" width="51.42578125" style="3" customWidth="1"/>
    <col min="9987" max="9987" width="12.5703125" style="3" customWidth="1"/>
    <col min="9988" max="9988" width="12.140625" style="3" customWidth="1"/>
    <col min="9989" max="9989" width="13.28515625" style="3" customWidth="1"/>
    <col min="9990" max="9990" width="12.85546875" style="3" customWidth="1"/>
    <col min="9991" max="9991" width="12.140625" style="3" customWidth="1"/>
    <col min="9992" max="9992" width="9.140625" style="3"/>
    <col min="9993" max="9993" width="9.5703125" style="3" customWidth="1"/>
    <col min="9994" max="10240" width="9.140625" style="3"/>
    <col min="10241" max="10241" width="6.42578125" style="3" customWidth="1"/>
    <col min="10242" max="10242" width="51.42578125" style="3" customWidth="1"/>
    <col min="10243" max="10243" width="12.5703125" style="3" customWidth="1"/>
    <col min="10244" max="10244" width="12.140625" style="3" customWidth="1"/>
    <col min="10245" max="10245" width="13.28515625" style="3" customWidth="1"/>
    <col min="10246" max="10246" width="12.85546875" style="3" customWidth="1"/>
    <col min="10247" max="10247" width="12.140625" style="3" customWidth="1"/>
    <col min="10248" max="10248" width="9.140625" style="3"/>
    <col min="10249" max="10249" width="9.5703125" style="3" customWidth="1"/>
    <col min="10250" max="10496" width="9.140625" style="3"/>
    <col min="10497" max="10497" width="6.42578125" style="3" customWidth="1"/>
    <col min="10498" max="10498" width="51.42578125" style="3" customWidth="1"/>
    <col min="10499" max="10499" width="12.5703125" style="3" customWidth="1"/>
    <col min="10500" max="10500" width="12.140625" style="3" customWidth="1"/>
    <col min="10501" max="10501" width="13.28515625" style="3" customWidth="1"/>
    <col min="10502" max="10502" width="12.85546875" style="3" customWidth="1"/>
    <col min="10503" max="10503" width="12.140625" style="3" customWidth="1"/>
    <col min="10504" max="10504" width="9.140625" style="3"/>
    <col min="10505" max="10505" width="9.5703125" style="3" customWidth="1"/>
    <col min="10506" max="10752" width="9.140625" style="3"/>
    <col min="10753" max="10753" width="6.42578125" style="3" customWidth="1"/>
    <col min="10754" max="10754" width="51.42578125" style="3" customWidth="1"/>
    <col min="10755" max="10755" width="12.5703125" style="3" customWidth="1"/>
    <col min="10756" max="10756" width="12.140625" style="3" customWidth="1"/>
    <col min="10757" max="10757" width="13.28515625" style="3" customWidth="1"/>
    <col min="10758" max="10758" width="12.85546875" style="3" customWidth="1"/>
    <col min="10759" max="10759" width="12.140625" style="3" customWidth="1"/>
    <col min="10760" max="10760" width="9.140625" style="3"/>
    <col min="10761" max="10761" width="9.5703125" style="3" customWidth="1"/>
    <col min="10762" max="11008" width="9.140625" style="3"/>
    <col min="11009" max="11009" width="6.42578125" style="3" customWidth="1"/>
    <col min="11010" max="11010" width="51.42578125" style="3" customWidth="1"/>
    <col min="11011" max="11011" width="12.5703125" style="3" customWidth="1"/>
    <col min="11012" max="11012" width="12.140625" style="3" customWidth="1"/>
    <col min="11013" max="11013" width="13.28515625" style="3" customWidth="1"/>
    <col min="11014" max="11014" width="12.85546875" style="3" customWidth="1"/>
    <col min="11015" max="11015" width="12.140625" style="3" customWidth="1"/>
    <col min="11016" max="11016" width="9.140625" style="3"/>
    <col min="11017" max="11017" width="9.5703125" style="3" customWidth="1"/>
    <col min="11018" max="11264" width="9.140625" style="3"/>
    <col min="11265" max="11265" width="6.42578125" style="3" customWidth="1"/>
    <col min="11266" max="11266" width="51.42578125" style="3" customWidth="1"/>
    <col min="11267" max="11267" width="12.5703125" style="3" customWidth="1"/>
    <col min="11268" max="11268" width="12.140625" style="3" customWidth="1"/>
    <col min="11269" max="11269" width="13.28515625" style="3" customWidth="1"/>
    <col min="11270" max="11270" width="12.85546875" style="3" customWidth="1"/>
    <col min="11271" max="11271" width="12.140625" style="3" customWidth="1"/>
    <col min="11272" max="11272" width="9.140625" style="3"/>
    <col min="11273" max="11273" width="9.5703125" style="3" customWidth="1"/>
    <col min="11274" max="11520" width="9.140625" style="3"/>
    <col min="11521" max="11521" width="6.42578125" style="3" customWidth="1"/>
    <col min="11522" max="11522" width="51.42578125" style="3" customWidth="1"/>
    <col min="11523" max="11523" width="12.5703125" style="3" customWidth="1"/>
    <col min="11524" max="11524" width="12.140625" style="3" customWidth="1"/>
    <col min="11525" max="11525" width="13.28515625" style="3" customWidth="1"/>
    <col min="11526" max="11526" width="12.85546875" style="3" customWidth="1"/>
    <col min="11527" max="11527" width="12.140625" style="3" customWidth="1"/>
    <col min="11528" max="11528" width="9.140625" style="3"/>
    <col min="11529" max="11529" width="9.5703125" style="3" customWidth="1"/>
    <col min="11530" max="11776" width="9.140625" style="3"/>
    <col min="11777" max="11777" width="6.42578125" style="3" customWidth="1"/>
    <col min="11778" max="11778" width="51.42578125" style="3" customWidth="1"/>
    <col min="11779" max="11779" width="12.5703125" style="3" customWidth="1"/>
    <col min="11780" max="11780" width="12.140625" style="3" customWidth="1"/>
    <col min="11781" max="11781" width="13.28515625" style="3" customWidth="1"/>
    <col min="11782" max="11782" width="12.85546875" style="3" customWidth="1"/>
    <col min="11783" max="11783" width="12.140625" style="3" customWidth="1"/>
    <col min="11784" max="11784" width="9.140625" style="3"/>
    <col min="11785" max="11785" width="9.5703125" style="3" customWidth="1"/>
    <col min="11786" max="12032" width="9.140625" style="3"/>
    <col min="12033" max="12033" width="6.42578125" style="3" customWidth="1"/>
    <col min="12034" max="12034" width="51.42578125" style="3" customWidth="1"/>
    <col min="12035" max="12035" width="12.5703125" style="3" customWidth="1"/>
    <col min="12036" max="12036" width="12.140625" style="3" customWidth="1"/>
    <col min="12037" max="12037" width="13.28515625" style="3" customWidth="1"/>
    <col min="12038" max="12038" width="12.85546875" style="3" customWidth="1"/>
    <col min="12039" max="12039" width="12.140625" style="3" customWidth="1"/>
    <col min="12040" max="12040" width="9.140625" style="3"/>
    <col min="12041" max="12041" width="9.5703125" style="3" customWidth="1"/>
    <col min="12042" max="12288" width="9.140625" style="3"/>
    <col min="12289" max="12289" width="6.42578125" style="3" customWidth="1"/>
    <col min="12290" max="12290" width="51.42578125" style="3" customWidth="1"/>
    <col min="12291" max="12291" width="12.5703125" style="3" customWidth="1"/>
    <col min="12292" max="12292" width="12.140625" style="3" customWidth="1"/>
    <col min="12293" max="12293" width="13.28515625" style="3" customWidth="1"/>
    <col min="12294" max="12294" width="12.85546875" style="3" customWidth="1"/>
    <col min="12295" max="12295" width="12.140625" style="3" customWidth="1"/>
    <col min="12296" max="12296" width="9.140625" style="3"/>
    <col min="12297" max="12297" width="9.5703125" style="3" customWidth="1"/>
    <col min="12298" max="12544" width="9.140625" style="3"/>
    <col min="12545" max="12545" width="6.42578125" style="3" customWidth="1"/>
    <col min="12546" max="12546" width="51.42578125" style="3" customWidth="1"/>
    <col min="12547" max="12547" width="12.5703125" style="3" customWidth="1"/>
    <col min="12548" max="12548" width="12.140625" style="3" customWidth="1"/>
    <col min="12549" max="12549" width="13.28515625" style="3" customWidth="1"/>
    <col min="12550" max="12550" width="12.85546875" style="3" customWidth="1"/>
    <col min="12551" max="12551" width="12.140625" style="3" customWidth="1"/>
    <col min="12552" max="12552" width="9.140625" style="3"/>
    <col min="12553" max="12553" width="9.5703125" style="3" customWidth="1"/>
    <col min="12554" max="12800" width="9.140625" style="3"/>
    <col min="12801" max="12801" width="6.42578125" style="3" customWidth="1"/>
    <col min="12802" max="12802" width="51.42578125" style="3" customWidth="1"/>
    <col min="12803" max="12803" width="12.5703125" style="3" customWidth="1"/>
    <col min="12804" max="12804" width="12.140625" style="3" customWidth="1"/>
    <col min="12805" max="12805" width="13.28515625" style="3" customWidth="1"/>
    <col min="12806" max="12806" width="12.85546875" style="3" customWidth="1"/>
    <col min="12807" max="12807" width="12.140625" style="3" customWidth="1"/>
    <col min="12808" max="12808" width="9.140625" style="3"/>
    <col min="12809" max="12809" width="9.5703125" style="3" customWidth="1"/>
    <col min="12810" max="13056" width="9.140625" style="3"/>
    <col min="13057" max="13057" width="6.42578125" style="3" customWidth="1"/>
    <col min="13058" max="13058" width="51.42578125" style="3" customWidth="1"/>
    <col min="13059" max="13059" width="12.5703125" style="3" customWidth="1"/>
    <col min="13060" max="13060" width="12.140625" style="3" customWidth="1"/>
    <col min="13061" max="13061" width="13.28515625" style="3" customWidth="1"/>
    <col min="13062" max="13062" width="12.85546875" style="3" customWidth="1"/>
    <col min="13063" max="13063" width="12.140625" style="3" customWidth="1"/>
    <col min="13064" max="13064" width="9.140625" style="3"/>
    <col min="13065" max="13065" width="9.5703125" style="3" customWidth="1"/>
    <col min="13066" max="13312" width="9.140625" style="3"/>
    <col min="13313" max="13313" width="6.42578125" style="3" customWidth="1"/>
    <col min="13314" max="13314" width="51.42578125" style="3" customWidth="1"/>
    <col min="13315" max="13315" width="12.5703125" style="3" customWidth="1"/>
    <col min="13316" max="13316" width="12.140625" style="3" customWidth="1"/>
    <col min="13317" max="13317" width="13.28515625" style="3" customWidth="1"/>
    <col min="13318" max="13318" width="12.85546875" style="3" customWidth="1"/>
    <col min="13319" max="13319" width="12.140625" style="3" customWidth="1"/>
    <col min="13320" max="13320" width="9.140625" style="3"/>
    <col min="13321" max="13321" width="9.5703125" style="3" customWidth="1"/>
    <col min="13322" max="13568" width="9.140625" style="3"/>
    <col min="13569" max="13569" width="6.42578125" style="3" customWidth="1"/>
    <col min="13570" max="13570" width="51.42578125" style="3" customWidth="1"/>
    <col min="13571" max="13571" width="12.5703125" style="3" customWidth="1"/>
    <col min="13572" max="13572" width="12.140625" style="3" customWidth="1"/>
    <col min="13573" max="13573" width="13.28515625" style="3" customWidth="1"/>
    <col min="13574" max="13574" width="12.85546875" style="3" customWidth="1"/>
    <col min="13575" max="13575" width="12.140625" style="3" customWidth="1"/>
    <col min="13576" max="13576" width="9.140625" style="3"/>
    <col min="13577" max="13577" width="9.5703125" style="3" customWidth="1"/>
    <col min="13578" max="13824" width="9.140625" style="3"/>
    <col min="13825" max="13825" width="6.42578125" style="3" customWidth="1"/>
    <col min="13826" max="13826" width="51.42578125" style="3" customWidth="1"/>
    <col min="13827" max="13827" width="12.5703125" style="3" customWidth="1"/>
    <col min="13828" max="13828" width="12.140625" style="3" customWidth="1"/>
    <col min="13829" max="13829" width="13.28515625" style="3" customWidth="1"/>
    <col min="13830" max="13830" width="12.85546875" style="3" customWidth="1"/>
    <col min="13831" max="13831" width="12.140625" style="3" customWidth="1"/>
    <col min="13832" max="13832" width="9.140625" style="3"/>
    <col min="13833" max="13833" width="9.5703125" style="3" customWidth="1"/>
    <col min="13834" max="14080" width="9.140625" style="3"/>
    <col min="14081" max="14081" width="6.42578125" style="3" customWidth="1"/>
    <col min="14082" max="14082" width="51.42578125" style="3" customWidth="1"/>
    <col min="14083" max="14083" width="12.5703125" style="3" customWidth="1"/>
    <col min="14084" max="14084" width="12.140625" style="3" customWidth="1"/>
    <col min="14085" max="14085" width="13.28515625" style="3" customWidth="1"/>
    <col min="14086" max="14086" width="12.85546875" style="3" customWidth="1"/>
    <col min="14087" max="14087" width="12.140625" style="3" customWidth="1"/>
    <col min="14088" max="14088" width="9.140625" style="3"/>
    <col min="14089" max="14089" width="9.5703125" style="3" customWidth="1"/>
    <col min="14090" max="14336" width="9.140625" style="3"/>
    <col min="14337" max="14337" width="6.42578125" style="3" customWidth="1"/>
    <col min="14338" max="14338" width="51.42578125" style="3" customWidth="1"/>
    <col min="14339" max="14339" width="12.5703125" style="3" customWidth="1"/>
    <col min="14340" max="14340" width="12.140625" style="3" customWidth="1"/>
    <col min="14341" max="14341" width="13.28515625" style="3" customWidth="1"/>
    <col min="14342" max="14342" width="12.85546875" style="3" customWidth="1"/>
    <col min="14343" max="14343" width="12.140625" style="3" customWidth="1"/>
    <col min="14344" max="14344" width="9.140625" style="3"/>
    <col min="14345" max="14345" width="9.5703125" style="3" customWidth="1"/>
    <col min="14346" max="14592" width="9.140625" style="3"/>
    <col min="14593" max="14593" width="6.42578125" style="3" customWidth="1"/>
    <col min="14594" max="14594" width="51.42578125" style="3" customWidth="1"/>
    <col min="14595" max="14595" width="12.5703125" style="3" customWidth="1"/>
    <col min="14596" max="14596" width="12.140625" style="3" customWidth="1"/>
    <col min="14597" max="14597" width="13.28515625" style="3" customWidth="1"/>
    <col min="14598" max="14598" width="12.85546875" style="3" customWidth="1"/>
    <col min="14599" max="14599" width="12.140625" style="3" customWidth="1"/>
    <col min="14600" max="14600" width="9.140625" style="3"/>
    <col min="14601" max="14601" width="9.5703125" style="3" customWidth="1"/>
    <col min="14602" max="14848" width="9.140625" style="3"/>
    <col min="14849" max="14849" width="6.42578125" style="3" customWidth="1"/>
    <col min="14850" max="14850" width="51.42578125" style="3" customWidth="1"/>
    <col min="14851" max="14851" width="12.5703125" style="3" customWidth="1"/>
    <col min="14852" max="14852" width="12.140625" style="3" customWidth="1"/>
    <col min="14853" max="14853" width="13.28515625" style="3" customWidth="1"/>
    <col min="14854" max="14854" width="12.85546875" style="3" customWidth="1"/>
    <col min="14855" max="14855" width="12.140625" style="3" customWidth="1"/>
    <col min="14856" max="14856" width="9.140625" style="3"/>
    <col min="14857" max="14857" width="9.5703125" style="3" customWidth="1"/>
    <col min="14858" max="15104" width="9.140625" style="3"/>
    <col min="15105" max="15105" width="6.42578125" style="3" customWidth="1"/>
    <col min="15106" max="15106" width="51.42578125" style="3" customWidth="1"/>
    <col min="15107" max="15107" width="12.5703125" style="3" customWidth="1"/>
    <col min="15108" max="15108" width="12.140625" style="3" customWidth="1"/>
    <col min="15109" max="15109" width="13.28515625" style="3" customWidth="1"/>
    <col min="15110" max="15110" width="12.85546875" style="3" customWidth="1"/>
    <col min="15111" max="15111" width="12.140625" style="3" customWidth="1"/>
    <col min="15112" max="15112" width="9.140625" style="3"/>
    <col min="15113" max="15113" width="9.5703125" style="3" customWidth="1"/>
    <col min="15114" max="15360" width="9.140625" style="3"/>
    <col min="15361" max="15361" width="6.42578125" style="3" customWidth="1"/>
    <col min="15362" max="15362" width="51.42578125" style="3" customWidth="1"/>
    <col min="15363" max="15363" width="12.5703125" style="3" customWidth="1"/>
    <col min="15364" max="15364" width="12.140625" style="3" customWidth="1"/>
    <col min="15365" max="15365" width="13.28515625" style="3" customWidth="1"/>
    <col min="15366" max="15366" width="12.85546875" style="3" customWidth="1"/>
    <col min="15367" max="15367" width="12.140625" style="3" customWidth="1"/>
    <col min="15368" max="15368" width="9.140625" style="3"/>
    <col min="15369" max="15369" width="9.5703125" style="3" customWidth="1"/>
    <col min="15370" max="15616" width="9.140625" style="3"/>
    <col min="15617" max="15617" width="6.42578125" style="3" customWidth="1"/>
    <col min="15618" max="15618" width="51.42578125" style="3" customWidth="1"/>
    <col min="15619" max="15619" width="12.5703125" style="3" customWidth="1"/>
    <col min="15620" max="15620" width="12.140625" style="3" customWidth="1"/>
    <col min="15621" max="15621" width="13.28515625" style="3" customWidth="1"/>
    <col min="15622" max="15622" width="12.85546875" style="3" customWidth="1"/>
    <col min="15623" max="15623" width="12.140625" style="3" customWidth="1"/>
    <col min="15624" max="15624" width="9.140625" style="3"/>
    <col min="15625" max="15625" width="9.5703125" style="3" customWidth="1"/>
    <col min="15626" max="15872" width="9.140625" style="3"/>
    <col min="15873" max="15873" width="6.42578125" style="3" customWidth="1"/>
    <col min="15874" max="15874" width="51.42578125" style="3" customWidth="1"/>
    <col min="15875" max="15875" width="12.5703125" style="3" customWidth="1"/>
    <col min="15876" max="15876" width="12.140625" style="3" customWidth="1"/>
    <col min="15877" max="15877" width="13.28515625" style="3" customWidth="1"/>
    <col min="15878" max="15878" width="12.85546875" style="3" customWidth="1"/>
    <col min="15879" max="15879" width="12.140625" style="3" customWidth="1"/>
    <col min="15880" max="15880" width="9.140625" style="3"/>
    <col min="15881" max="15881" width="9.5703125" style="3" customWidth="1"/>
    <col min="15882" max="16128" width="9.140625" style="3"/>
    <col min="16129" max="16129" width="6.42578125" style="3" customWidth="1"/>
    <col min="16130" max="16130" width="51.42578125" style="3" customWidth="1"/>
    <col min="16131" max="16131" width="12.5703125" style="3" customWidth="1"/>
    <col min="16132" max="16132" width="12.140625" style="3" customWidth="1"/>
    <col min="16133" max="16133" width="13.28515625" style="3" customWidth="1"/>
    <col min="16134" max="16134" width="12.85546875" style="3" customWidth="1"/>
    <col min="16135" max="16135" width="12.140625" style="3" customWidth="1"/>
    <col min="16136" max="16136" width="9.140625" style="3"/>
    <col min="16137" max="16137" width="9.5703125" style="3" customWidth="1"/>
    <col min="16138" max="16384" width="9.140625" style="3"/>
  </cols>
  <sheetData>
    <row r="1" spans="1:10" ht="20.25" customHeight="1" x14ac:dyDescent="0.25">
      <c r="A1" s="85"/>
      <c r="B1" s="10"/>
      <c r="D1" s="86" t="s">
        <v>0</v>
      </c>
      <c r="E1" s="10"/>
      <c r="F1" s="10"/>
      <c r="G1" s="10"/>
    </row>
    <row r="2" spans="1:10" ht="15" customHeight="1" x14ac:dyDescent="0.25">
      <c r="A2" s="10"/>
      <c r="B2" s="10"/>
      <c r="D2" s="10" t="s">
        <v>1</v>
      </c>
      <c r="E2" s="10"/>
      <c r="F2" s="10"/>
      <c r="G2" s="10"/>
    </row>
    <row r="3" spans="1:10" ht="51" customHeight="1" x14ac:dyDescent="0.25">
      <c r="A3" s="10"/>
      <c r="B3" s="10"/>
      <c r="D3" s="714" t="s">
        <v>64</v>
      </c>
      <c r="E3" s="714"/>
      <c r="F3" s="714"/>
      <c r="G3" s="87"/>
    </row>
    <row r="4" spans="1:10" ht="13.5" customHeight="1" x14ac:dyDescent="0.2">
      <c r="A4" s="10"/>
      <c r="B4" s="10"/>
      <c r="D4" s="88" t="s">
        <v>65</v>
      </c>
      <c r="E4" s="10"/>
      <c r="F4" s="10"/>
      <c r="G4" s="10"/>
    </row>
    <row r="5" spans="1:10" ht="20.25" customHeight="1" x14ac:dyDescent="0.25">
      <c r="A5" s="10"/>
      <c r="B5" s="10"/>
      <c r="D5" s="10" t="s">
        <v>66</v>
      </c>
      <c r="E5" s="10"/>
      <c r="F5" s="10"/>
      <c r="G5" s="10"/>
    </row>
    <row r="6" spans="1:10" s="7" customFormat="1" ht="20.25" customHeight="1" x14ac:dyDescent="0.25">
      <c r="A6" s="715" t="s">
        <v>5</v>
      </c>
      <c r="B6" s="715"/>
      <c r="C6" s="715"/>
      <c r="D6" s="715"/>
      <c r="E6" s="715"/>
      <c r="F6" s="715"/>
      <c r="G6" s="715"/>
    </row>
    <row r="7" spans="1:10" ht="14.25" customHeight="1" x14ac:dyDescent="0.25">
      <c r="A7" s="716" t="s">
        <v>67</v>
      </c>
      <c r="B7" s="716"/>
      <c r="C7" s="716"/>
      <c r="D7" s="716"/>
      <c r="E7" s="716"/>
      <c r="F7" s="716"/>
      <c r="G7" s="716"/>
    </row>
    <row r="8" spans="1:10" ht="15.75" customHeight="1" x14ac:dyDescent="0.25">
      <c r="A8" s="716" t="s">
        <v>7</v>
      </c>
      <c r="B8" s="716"/>
      <c r="C8" s="716"/>
      <c r="D8" s="716"/>
      <c r="E8" s="716"/>
      <c r="F8" s="716"/>
      <c r="G8" s="716"/>
    </row>
    <row r="9" spans="1:10" ht="17.25" customHeight="1" x14ac:dyDescent="0.25">
      <c r="A9" s="716" t="s">
        <v>8</v>
      </c>
      <c r="B9" s="716"/>
      <c r="C9" s="716"/>
      <c r="D9" s="716"/>
      <c r="E9" s="716"/>
      <c r="F9" s="716"/>
      <c r="G9" s="716"/>
    </row>
    <row r="10" spans="1:10" ht="17.25" customHeight="1" thickBot="1" x14ac:dyDescent="0.3">
      <c r="A10" s="89"/>
      <c r="B10" s="89"/>
      <c r="C10" s="10"/>
      <c r="D10" s="86"/>
      <c r="E10" s="86" t="s">
        <v>68</v>
      </c>
      <c r="F10" s="10"/>
      <c r="G10" s="10"/>
    </row>
    <row r="11" spans="1:10" ht="69.75" customHeight="1" x14ac:dyDescent="0.25">
      <c r="A11" s="717" t="s">
        <v>10</v>
      </c>
      <c r="B11" s="719" t="s">
        <v>11</v>
      </c>
      <c r="C11" s="721" t="s">
        <v>13</v>
      </c>
      <c r="D11" s="722"/>
      <c r="E11" s="719" t="s">
        <v>14</v>
      </c>
      <c r="F11" s="723" t="s">
        <v>15</v>
      </c>
      <c r="G11" s="724"/>
      <c r="H11" s="694" t="s">
        <v>16</v>
      </c>
      <c r="I11" s="695"/>
      <c r="J11" s="695"/>
    </row>
    <row r="12" spans="1:10" s="17" customFormat="1" ht="117" customHeight="1" thickBot="1" x14ac:dyDescent="0.3">
      <c r="A12" s="718"/>
      <c r="B12" s="720"/>
      <c r="C12" s="90" t="s">
        <v>17</v>
      </c>
      <c r="D12" s="91" t="s">
        <v>69</v>
      </c>
      <c r="E12" s="720"/>
      <c r="F12" s="90" t="s">
        <v>17</v>
      </c>
      <c r="G12" s="91" t="s">
        <v>69</v>
      </c>
      <c r="H12" s="13">
        <v>10</v>
      </c>
      <c r="I12" s="14">
        <v>20</v>
      </c>
      <c r="J12" s="14" t="s">
        <v>70</v>
      </c>
    </row>
    <row r="13" spans="1:10" s="20" customFormat="1" ht="24.75" customHeight="1" thickBot="1" x14ac:dyDescent="0.3">
      <c r="A13" s="711" t="s">
        <v>71</v>
      </c>
      <c r="B13" s="712"/>
      <c r="C13" s="712"/>
      <c r="D13" s="712"/>
      <c r="E13" s="712"/>
      <c r="F13" s="712"/>
      <c r="G13" s="713"/>
      <c r="H13" s="18"/>
      <c r="I13" s="19"/>
      <c r="J13" s="19"/>
    </row>
    <row r="14" spans="1:10" s="32" customFormat="1" ht="24" customHeight="1" x14ac:dyDescent="0.25">
      <c r="A14" s="92" t="s">
        <v>72</v>
      </c>
      <c r="B14" s="93" t="str">
        <f>'[3]1 Первич прием'!A11</f>
        <v>Первичный прием врача-акушера-гинеколога</v>
      </c>
      <c r="C14" s="94">
        <f>'[3]1 Первич прием'!G27</f>
        <v>27.47</v>
      </c>
      <c r="D14" s="60" t="s">
        <v>25</v>
      </c>
      <c r="E14" s="95">
        <f>'[3]1 Первич прием'!P32</f>
        <v>1.85</v>
      </c>
      <c r="F14" s="96">
        <f>'[3]1р'!G27</f>
        <v>33.58</v>
      </c>
      <c r="G14" s="60" t="s">
        <v>25</v>
      </c>
      <c r="H14" s="30">
        <f>1.52*$H$12/110</f>
        <v>0.13818181818181818</v>
      </c>
      <c r="I14" s="31"/>
      <c r="J14" s="31">
        <f t="shared" ref="J14:J19" si="0">H14+I14</f>
        <v>0.13818181818181818</v>
      </c>
    </row>
    <row r="15" spans="1:10" s="32" customFormat="1" ht="24" customHeight="1" x14ac:dyDescent="0.25">
      <c r="A15" s="97" t="s">
        <v>73</v>
      </c>
      <c r="B15" s="98" t="str">
        <f>'[3]2 Повтор. прием'!A11</f>
        <v>Повторный прием врача-акушера-гинеколога</v>
      </c>
      <c r="C15" s="36">
        <f>'[3]2 Повтор. прием'!G27</f>
        <v>16.72</v>
      </c>
      <c r="D15" s="37" t="s">
        <v>25</v>
      </c>
      <c r="E15" s="38">
        <f>'[3]2 Повтор. прием'!P32</f>
        <v>1.85</v>
      </c>
      <c r="F15" s="28">
        <f>'[3]2р'!G27</f>
        <v>23.2</v>
      </c>
      <c r="G15" s="37" t="s">
        <v>25</v>
      </c>
      <c r="H15" s="30">
        <f>1.52*$H$12/110</f>
        <v>0.13818181818181818</v>
      </c>
      <c r="I15" s="31"/>
      <c r="J15" s="31">
        <f t="shared" si="0"/>
        <v>0.13818181818181818</v>
      </c>
    </row>
    <row r="16" spans="1:10" s="32" customFormat="1" ht="24" customHeight="1" x14ac:dyDescent="0.25">
      <c r="A16" s="99" t="s">
        <v>74</v>
      </c>
      <c r="B16" s="98" t="str">
        <f>'[3]3 Забор мазка'!A11</f>
        <v>Забор мазка на исследование</v>
      </c>
      <c r="C16" s="36">
        <f>'[3]3 Забор мазка'!G27</f>
        <v>1.61</v>
      </c>
      <c r="D16" s="37" t="s">
        <v>25</v>
      </c>
      <c r="E16" s="38">
        <f>'[3]3 Забор мазка'!P32</f>
        <v>2.5</v>
      </c>
      <c r="F16" s="28">
        <f>'[3]3р'!G27</f>
        <v>3.47</v>
      </c>
      <c r="G16" s="37" t="s">
        <v>25</v>
      </c>
      <c r="H16" s="30">
        <f>2.17*$H$12/110</f>
        <v>0.19727272727272727</v>
      </c>
      <c r="I16" s="31"/>
      <c r="J16" s="31">
        <f t="shared" si="0"/>
        <v>0.19727272727272727</v>
      </c>
    </row>
    <row r="17" spans="1:14" s="32" customFormat="1" ht="24" customHeight="1" x14ac:dyDescent="0.25">
      <c r="A17" s="97" t="s">
        <v>75</v>
      </c>
      <c r="B17" s="98" t="str">
        <f>'[3]4 Кольпоцитология'!A11</f>
        <v>Кольпоцитология</v>
      </c>
      <c r="C17" s="36">
        <f>'[3]4 Кольпоцитология'!G27</f>
        <v>1.61</v>
      </c>
      <c r="D17" s="37" t="s">
        <v>25</v>
      </c>
      <c r="E17" s="38">
        <f>'[3]4 Кольпоцитология'!P32</f>
        <v>2.5</v>
      </c>
      <c r="F17" s="28">
        <f>'[3]4р'!G27</f>
        <v>3.47</v>
      </c>
      <c r="G17" s="37" t="s">
        <v>25</v>
      </c>
      <c r="H17" s="30">
        <f>2.17*$H$12/110</f>
        <v>0.19727272727272727</v>
      </c>
      <c r="I17" s="31"/>
      <c r="J17" s="31">
        <f t="shared" si="0"/>
        <v>0.19727272727272727</v>
      </c>
    </row>
    <row r="18" spans="1:14" s="32" customFormat="1" ht="24" customHeight="1" x14ac:dyDescent="0.25">
      <c r="A18" s="99" t="s">
        <v>76</v>
      </c>
      <c r="B18" s="98" t="str">
        <f>'[3]5 Кольпоскопия простая'!A11</f>
        <v>Кольпоскопия простая</v>
      </c>
      <c r="C18" s="36">
        <f>'[3]5 Кольпоскопия простая'!G27</f>
        <v>16.72</v>
      </c>
      <c r="D18" s="37" t="s">
        <v>25</v>
      </c>
      <c r="E18" s="38">
        <f>'[3]5 Кольпоскопия простая'!P32</f>
        <v>1.88</v>
      </c>
      <c r="F18" s="28">
        <f>'[3]5р'!G27</f>
        <v>23.2</v>
      </c>
      <c r="G18" s="37" t="s">
        <v>25</v>
      </c>
      <c r="H18" s="30">
        <f>1.55*$H$12/110</f>
        <v>0.1409090909090909</v>
      </c>
      <c r="I18" s="31"/>
      <c r="J18" s="31">
        <f t="shared" si="0"/>
        <v>0.1409090909090909</v>
      </c>
      <c r="L18" s="100"/>
      <c r="M18" s="100"/>
    </row>
    <row r="19" spans="1:14" s="32" customFormat="1" ht="24" customHeight="1" x14ac:dyDescent="0.25">
      <c r="A19" s="97" t="s">
        <v>77</v>
      </c>
      <c r="B19" s="98" t="str">
        <f>'[3]6 Кольпоскопия расшир'!A11</f>
        <v>Кольпоскопия расширенная с цитологией</v>
      </c>
      <c r="C19" s="36">
        <f>'[3]6 Кольпоскопия расшир'!G27</f>
        <v>16.72</v>
      </c>
      <c r="D19" s="37" t="s">
        <v>25</v>
      </c>
      <c r="E19" s="38">
        <f>'[3]6 Кольпоскопия расшир'!P32</f>
        <v>2.56</v>
      </c>
      <c r="F19" s="28">
        <f>'[3]6р'!G27</f>
        <v>23.2</v>
      </c>
      <c r="G19" s="37" t="s">
        <v>25</v>
      </c>
      <c r="H19" s="30">
        <f>1.75*H12/110</f>
        <v>0.15909090909090909</v>
      </c>
      <c r="I19" s="31">
        <f>0.35*I12/120</f>
        <v>5.8333333333333334E-2</v>
      </c>
      <c r="J19" s="31">
        <f t="shared" si="0"/>
        <v>0.21742424242424241</v>
      </c>
    </row>
    <row r="20" spans="1:14" s="32" customFormat="1" ht="18" customHeight="1" x14ac:dyDescent="0.25">
      <c r="A20" s="99" t="s">
        <v>78</v>
      </c>
      <c r="B20" s="98" t="str">
        <f>'[3]7 Ванночка'!A11</f>
        <v xml:space="preserve">Лечебная процедура: 1 ванночка </v>
      </c>
      <c r="C20" s="36">
        <f>'[3]7 Ванночка'!G27</f>
        <v>3</v>
      </c>
      <c r="D20" s="37"/>
      <c r="E20" s="38"/>
      <c r="F20" s="28">
        <f>'[3]7 р'!G27</f>
        <v>4.97</v>
      </c>
      <c r="G20" s="37"/>
      <c r="H20" s="30"/>
      <c r="I20" s="31"/>
      <c r="J20" s="31"/>
    </row>
    <row r="21" spans="1:14" s="32" customFormat="1" ht="15.75" x14ac:dyDescent="0.25">
      <c r="A21" s="99"/>
      <c r="B21" s="101" t="str">
        <f>'[3]7 Ванночка'!L30</f>
        <v>Перекись водорода 3%</v>
      </c>
      <c r="C21" s="36"/>
      <c r="D21" s="37" t="s">
        <v>25</v>
      </c>
      <c r="E21" s="38">
        <f>'[3]7 Ванночка'!P30</f>
        <v>1.95</v>
      </c>
      <c r="F21" s="28"/>
      <c r="G21" s="37" t="s">
        <v>25</v>
      </c>
      <c r="H21" s="30">
        <f>1.49*$H$12/110</f>
        <v>0.13545454545454547</v>
      </c>
      <c r="I21" s="31"/>
      <c r="J21" s="31">
        <f>H21+I21</f>
        <v>0.13545454545454547</v>
      </c>
    </row>
    <row r="22" spans="1:14" s="32" customFormat="1" ht="15.75" x14ac:dyDescent="0.25">
      <c r="A22" s="99"/>
      <c r="B22" s="101" t="str">
        <f>'[3]7 Ванночка'!L31</f>
        <v xml:space="preserve">Раствор хлоргексидина биглюконат </v>
      </c>
      <c r="C22" s="36"/>
      <c r="D22" s="37" t="s">
        <v>25</v>
      </c>
      <c r="E22" s="38">
        <f>'[3]7 Ванночка'!P31</f>
        <v>2.5499999999999998</v>
      </c>
      <c r="F22" s="28"/>
      <c r="G22" s="37" t="s">
        <v>25</v>
      </c>
      <c r="H22" s="30">
        <f>2.09*$H$12/110</f>
        <v>0.18999999999999997</v>
      </c>
      <c r="I22" s="31"/>
      <c r="J22" s="31">
        <f>H22+I22</f>
        <v>0.18999999999999997</v>
      </c>
    </row>
    <row r="23" spans="1:14" s="32" customFormat="1" ht="15.75" x14ac:dyDescent="0.25">
      <c r="A23" s="99"/>
      <c r="B23" s="101" t="str">
        <f>'[3]7 Ванночка'!L32</f>
        <v>Раствор спиртовой хлорофиллипта 10 мг/мл</v>
      </c>
      <c r="C23" s="36"/>
      <c r="D23" s="37" t="s">
        <v>25</v>
      </c>
      <c r="E23" s="38">
        <f>'[3]7 Ванночка'!P32</f>
        <v>1.65</v>
      </c>
      <c r="F23" s="28"/>
      <c r="G23" s="37" t="s">
        <v>25</v>
      </c>
      <c r="H23" s="30">
        <f>1.19*$H$12/110</f>
        <v>0.10818181818181817</v>
      </c>
      <c r="I23" s="31"/>
      <c r="J23" s="31">
        <f>H23+I23</f>
        <v>0.10818181818181817</v>
      </c>
    </row>
    <row r="24" spans="1:14" s="32" customFormat="1" ht="15.75" x14ac:dyDescent="0.25">
      <c r="A24" s="99"/>
      <c r="B24" s="101" t="str">
        <f>'[3]7 Ванночка'!L33</f>
        <v>Раствор мукосанина</v>
      </c>
      <c r="C24" s="36"/>
      <c r="D24" s="37" t="s">
        <v>25</v>
      </c>
      <c r="E24" s="38">
        <f>'[3]7 Ванночка'!P33</f>
        <v>1.65</v>
      </c>
      <c r="F24" s="28"/>
      <c r="G24" s="37" t="s">
        <v>25</v>
      </c>
      <c r="H24" s="30">
        <f>1.19*$H$12/110</f>
        <v>0.10818181818181817</v>
      </c>
      <c r="I24" s="31"/>
      <c r="J24" s="31">
        <f>H24+I24</f>
        <v>0.10818181818181817</v>
      </c>
    </row>
    <row r="25" spans="1:14" s="32" customFormat="1" ht="15.75" x14ac:dyDescent="0.25">
      <c r="A25" s="99"/>
      <c r="B25" s="101" t="str">
        <f>'[3]7 Ванночка'!L34</f>
        <v>Раствор мирросепта</v>
      </c>
      <c r="C25" s="36"/>
      <c r="D25" s="37" t="s">
        <v>25</v>
      </c>
      <c r="E25" s="38">
        <f>'[3]7 Ванночка'!P34</f>
        <v>1.75</v>
      </c>
      <c r="F25" s="28"/>
      <c r="G25" s="37" t="s">
        <v>25</v>
      </c>
      <c r="H25" s="30">
        <f>1.29*$H$12/110</f>
        <v>0.11727272727272728</v>
      </c>
      <c r="I25" s="31"/>
      <c r="J25" s="31">
        <f>H25+I25</f>
        <v>0.11727272727272728</v>
      </c>
    </row>
    <row r="26" spans="1:14" s="32" customFormat="1" ht="30" x14ac:dyDescent="0.25">
      <c r="A26" s="99" t="s">
        <v>79</v>
      </c>
      <c r="B26" s="98" t="str">
        <f>'[3]8-1 Леч тампон лекарств'!A11</f>
        <v>Лечебная процедура: введение лечебных тампонов с лекарственными препаратами</v>
      </c>
      <c r="C26" s="36">
        <f>'[3]8-1 Леч тампон лекарств'!G27</f>
        <v>3</v>
      </c>
      <c r="D26" s="37"/>
      <c r="E26" s="38"/>
      <c r="F26" s="28">
        <f>'[3]8-1р'!G27</f>
        <v>4.95</v>
      </c>
      <c r="G26" s="37"/>
      <c r="H26" s="30"/>
      <c r="I26" s="31"/>
      <c r="J26" s="31"/>
    </row>
    <row r="27" spans="1:14" s="32" customFormat="1" ht="15.75" x14ac:dyDescent="0.25">
      <c r="A27" s="99"/>
      <c r="B27" s="101" t="str">
        <f>'[3]8-1 Леч тампон лекарств'!L43</f>
        <v>Мазь Линимент Бальзамический (Вишневского)</v>
      </c>
      <c r="C27" s="36"/>
      <c r="D27" s="37" t="s">
        <v>25</v>
      </c>
      <c r="E27" s="38">
        <f>'[3]8-1 Леч тампон лекарств'!P43</f>
        <v>1.96</v>
      </c>
      <c r="F27" s="28"/>
      <c r="G27" s="37" t="s">
        <v>25</v>
      </c>
      <c r="H27" s="30">
        <f>1.5*$H$12/110</f>
        <v>0.13636363636363635</v>
      </c>
      <c r="I27" s="31"/>
      <c r="J27" s="31">
        <f>H27+I27</f>
        <v>0.13636363636363635</v>
      </c>
      <c r="K27" s="100"/>
      <c r="L27" s="100"/>
      <c r="M27" s="100"/>
      <c r="N27" s="100"/>
    </row>
    <row r="28" spans="1:14" s="32" customFormat="1" ht="15.75" x14ac:dyDescent="0.25">
      <c r="A28" s="99"/>
      <c r="B28" s="101" t="str">
        <f>'[3]8-1 Леч тампон лекарств'!L44</f>
        <v>Мазь Эритромициновая 10000ЕД в 1г</v>
      </c>
      <c r="C28" s="36"/>
      <c r="D28" s="37" t="s">
        <v>25</v>
      </c>
      <c r="E28" s="38">
        <f>'[3]8-1 Леч тампон лекарств'!P44</f>
        <v>1.88</v>
      </c>
      <c r="F28" s="28"/>
      <c r="G28" s="37" t="s">
        <v>25</v>
      </c>
      <c r="H28" s="30">
        <f>1.42*$H$12/110</f>
        <v>0.12909090909090909</v>
      </c>
      <c r="I28" s="31"/>
      <c r="J28" s="31">
        <f t="shared" ref="J28:J49" si="1">H28+I28</f>
        <v>0.12909090909090909</v>
      </c>
      <c r="K28" s="100"/>
      <c r="L28" s="100"/>
      <c r="M28" s="100"/>
      <c r="N28" s="100"/>
    </row>
    <row r="29" spans="1:14" s="32" customFormat="1" ht="15.75" x14ac:dyDescent="0.25">
      <c r="A29" s="99"/>
      <c r="B29" s="101" t="str">
        <f>'[3]8-1 Леч тампон лекарств'!L45</f>
        <v>Мазь Тетрациклиновая 3%</v>
      </c>
      <c r="C29" s="36"/>
      <c r="D29" s="37" t="s">
        <v>25</v>
      </c>
      <c r="E29" s="38">
        <f>'[3]8-1 Леч тампон лекарств'!P45</f>
        <v>1.72</v>
      </c>
      <c r="F29" s="28"/>
      <c r="G29" s="37" t="s">
        <v>25</v>
      </c>
      <c r="H29" s="30">
        <f>1.26*$H$12/110</f>
        <v>0.11454545454545455</v>
      </c>
      <c r="I29" s="31"/>
      <c r="J29" s="31">
        <f t="shared" si="1"/>
        <v>0.11454545454545455</v>
      </c>
      <c r="K29" s="100"/>
      <c r="L29" s="100"/>
      <c r="M29" s="100"/>
      <c r="N29" s="100"/>
    </row>
    <row r="30" spans="1:14" s="32" customFormat="1" ht="15.75" x14ac:dyDescent="0.25">
      <c r="A30" s="99"/>
      <c r="B30" s="101" t="str">
        <f>'[3]8-1 Леч тампон лекарств'!L46</f>
        <v>Мазь Клотримазол 1%</v>
      </c>
      <c r="C30" s="36"/>
      <c r="D30" s="37" t="s">
        <v>25</v>
      </c>
      <c r="E30" s="38">
        <f>'[3]8-1 Леч тампон лекарств'!P46</f>
        <v>2.52</v>
      </c>
      <c r="F30" s="28"/>
      <c r="G30" s="37" t="s">
        <v>25</v>
      </c>
      <c r="H30" s="30">
        <f>2.06*$H$12/110</f>
        <v>0.18727272727272729</v>
      </c>
      <c r="I30" s="31"/>
      <c r="J30" s="31">
        <f t="shared" si="1"/>
        <v>0.18727272727272729</v>
      </c>
      <c r="K30" s="100"/>
      <c r="L30" s="100"/>
      <c r="M30" s="100"/>
      <c r="N30" s="100"/>
    </row>
    <row r="31" spans="1:14" s="32" customFormat="1" ht="15.75" x14ac:dyDescent="0.25">
      <c r="A31" s="99"/>
      <c r="B31" s="101" t="str">
        <f>'[3]8-1 Леч тампон лекарств'!L47</f>
        <v>Мазь Меколь-боримед</v>
      </c>
      <c r="C31" s="36"/>
      <c r="D31" s="37" t="s">
        <v>25</v>
      </c>
      <c r="E31" s="38">
        <f>'[3]8-1 Леч тампон лекарств'!P47</f>
        <v>2.2000000000000002</v>
      </c>
      <c r="F31" s="28"/>
      <c r="G31" s="37" t="s">
        <v>25</v>
      </c>
      <c r="H31" s="30">
        <f>1.74*$H$12/110</f>
        <v>0.15818181818181817</v>
      </c>
      <c r="I31" s="31"/>
      <c r="J31" s="31">
        <f t="shared" si="1"/>
        <v>0.15818181818181817</v>
      </c>
      <c r="K31" s="100"/>
      <c r="L31" s="100"/>
      <c r="M31" s="100"/>
      <c r="N31" s="100"/>
    </row>
    <row r="32" spans="1:14" s="32" customFormat="1" ht="15.75" hidden="1" x14ac:dyDescent="0.25">
      <c r="A32" s="99"/>
      <c r="B32" s="101" t="str">
        <f>'[3]8-1 Леч тампон лекарств'!L48</f>
        <v>Раствор Димексида</v>
      </c>
      <c r="C32" s="36"/>
      <c r="D32" s="37" t="s">
        <v>25</v>
      </c>
      <c r="E32" s="38">
        <f>'[3]8-1 Леч тампон лекарств'!P48</f>
        <v>1.6</v>
      </c>
      <c r="F32" s="28"/>
      <c r="G32" s="37" t="s">
        <v>25</v>
      </c>
      <c r="H32" s="30">
        <f>1.14*$H$12/110</f>
        <v>0.10363636363636362</v>
      </c>
      <c r="I32" s="31"/>
      <c r="J32" s="31">
        <f t="shared" si="1"/>
        <v>0.10363636363636362</v>
      </c>
      <c r="K32" s="100"/>
      <c r="L32" s="100"/>
      <c r="M32" s="100"/>
      <c r="N32" s="100"/>
    </row>
    <row r="33" spans="1:14" s="32" customFormat="1" ht="15.75" hidden="1" x14ac:dyDescent="0.25">
      <c r="A33" s="99"/>
      <c r="B33" s="101" t="str">
        <f>'[3]8-1 Леч тампон лекарств'!L49</f>
        <v>Масло Облепиховое</v>
      </c>
      <c r="C33" s="36"/>
      <c r="D33" s="37" t="s">
        <v>25</v>
      </c>
      <c r="E33" s="38">
        <f>'[3]8-1 Леч тампон лекарств'!P49</f>
        <v>1.65</v>
      </c>
      <c r="F33" s="28"/>
      <c r="G33" s="37" t="s">
        <v>25</v>
      </c>
      <c r="H33" s="30">
        <f>0.94*H12/110</f>
        <v>8.5454545454545436E-2</v>
      </c>
      <c r="I33" s="31">
        <f>0.25*I12/120</f>
        <v>4.1666666666666664E-2</v>
      </c>
      <c r="J33" s="31">
        <f t="shared" si="1"/>
        <v>0.12712121212121211</v>
      </c>
      <c r="K33" s="100"/>
      <c r="L33" s="100"/>
      <c r="M33" s="100"/>
      <c r="N33" s="100"/>
    </row>
    <row r="34" spans="1:14" s="32" customFormat="1" ht="15.75" hidden="1" x14ac:dyDescent="0.25">
      <c r="A34" s="99"/>
      <c r="B34" s="101" t="str">
        <f>'[3]8-1 Леч тампон лекарств'!L50</f>
        <v>Нистатин мазь</v>
      </c>
      <c r="C34" s="36"/>
      <c r="D34" s="37" t="s">
        <v>25</v>
      </c>
      <c r="E34" s="38">
        <f>'[3]8-1 Леч тампон лекарств'!P50</f>
        <v>1.88</v>
      </c>
      <c r="F34" s="28"/>
      <c r="G34" s="37" t="s">
        <v>25</v>
      </c>
      <c r="H34" s="30">
        <f>1.42*$H$12/110</f>
        <v>0.12909090909090909</v>
      </c>
      <c r="I34" s="31"/>
      <c r="J34" s="31">
        <f t="shared" si="1"/>
        <v>0.12909090909090909</v>
      </c>
      <c r="K34" s="100"/>
      <c r="L34" s="100"/>
      <c r="M34" s="100"/>
      <c r="N34" s="100"/>
    </row>
    <row r="35" spans="1:14" s="32" customFormat="1" ht="15.75" x14ac:dyDescent="0.25">
      <c r="A35" s="99"/>
      <c r="B35" s="101" t="str">
        <f>'[3]8-1 Леч тампон лекарств'!L51</f>
        <v>Метронидазол гель</v>
      </c>
      <c r="C35" s="36"/>
      <c r="D35" s="37" t="s">
        <v>25</v>
      </c>
      <c r="E35" s="38">
        <f>'[3]8-1 Леч тампон лекарств'!P51</f>
        <v>2.36</v>
      </c>
      <c r="F35" s="28"/>
      <c r="G35" s="37" t="s">
        <v>25</v>
      </c>
      <c r="H35" s="30">
        <f>1.9*$H$12/110</f>
        <v>0.17272727272727273</v>
      </c>
      <c r="I35" s="31"/>
      <c r="J35" s="31">
        <f t="shared" si="1"/>
        <v>0.17272727272727273</v>
      </c>
      <c r="K35" s="100"/>
      <c r="L35" s="100"/>
      <c r="M35" s="100"/>
      <c r="N35" s="100"/>
    </row>
    <row r="36" spans="1:14" s="32" customFormat="1" ht="15.75" x14ac:dyDescent="0.25">
      <c r="A36" s="99"/>
      <c r="B36" s="101" t="str">
        <f>'[3]8-1 Леч тампон лекарств'!L52</f>
        <v>Повидон - йод мазь</v>
      </c>
      <c r="C36" s="36"/>
      <c r="D36" s="37" t="s">
        <v>25</v>
      </c>
      <c r="E36" s="38">
        <f>'[3]8-1 Леч тампон лекарств'!P52</f>
        <v>3.24</v>
      </c>
      <c r="F36" s="28"/>
      <c r="G36" s="37" t="s">
        <v>25</v>
      </c>
      <c r="H36" s="30">
        <f>2.78*$H$12/110</f>
        <v>0.25272727272727269</v>
      </c>
      <c r="I36" s="31"/>
      <c r="J36" s="31">
        <f t="shared" si="1"/>
        <v>0.25272727272727269</v>
      </c>
      <c r="K36" s="100"/>
      <c r="L36" s="100"/>
      <c r="M36" s="100"/>
      <c r="N36" s="100"/>
    </row>
    <row r="37" spans="1:14" s="32" customFormat="1" ht="15.75" x14ac:dyDescent="0.25">
      <c r="A37" s="99"/>
      <c r="B37" s="101" t="str">
        <f>'[3]8-1 Леч тампон лекарств'!L53</f>
        <v>Гидрокортизон мазь</v>
      </c>
      <c r="C37" s="36"/>
      <c r="D37" s="37" t="s">
        <v>25</v>
      </c>
      <c r="E37" s="38">
        <f>'[3]8-1 Леч тампон лекарств'!P53</f>
        <v>2.52</v>
      </c>
      <c r="F37" s="28"/>
      <c r="G37" s="37" t="s">
        <v>25</v>
      </c>
      <c r="H37" s="30">
        <f>2.06*$H$12/110</f>
        <v>0.18727272727272729</v>
      </c>
      <c r="I37" s="31"/>
      <c r="J37" s="31">
        <f t="shared" si="1"/>
        <v>0.18727272727272729</v>
      </c>
      <c r="K37" s="100"/>
      <c r="L37" s="100"/>
      <c r="M37" s="100"/>
      <c r="N37" s="100"/>
    </row>
    <row r="38" spans="1:14" s="32" customFormat="1" ht="15.75" x14ac:dyDescent="0.25">
      <c r="A38" s="99"/>
      <c r="B38" s="101" t="str">
        <f>'[3]8-1 Леч тампон лекарств'!L54</f>
        <v>Декспантен мазь</v>
      </c>
      <c r="C38" s="36"/>
      <c r="D38" s="37" t="s">
        <v>25</v>
      </c>
      <c r="E38" s="38">
        <f>'[3]8-1 Леч тампон лекарств'!P54</f>
        <v>3.8</v>
      </c>
      <c r="F38" s="28"/>
      <c r="G38" s="37" t="s">
        <v>25</v>
      </c>
      <c r="H38" s="30">
        <f>3.34*$H$12/110</f>
        <v>0.30363636363636365</v>
      </c>
      <c r="I38" s="31"/>
      <c r="J38" s="31">
        <f t="shared" si="1"/>
        <v>0.30363636363636365</v>
      </c>
      <c r="K38" s="100"/>
      <c r="L38" s="100"/>
      <c r="M38" s="100"/>
      <c r="N38" s="100"/>
    </row>
    <row r="39" spans="1:14" s="32" customFormat="1" ht="15.75" x14ac:dyDescent="0.25">
      <c r="A39" s="99"/>
      <c r="B39" s="101" t="str">
        <f>'[3]8-1 Леч тампон лекарств'!L55</f>
        <v>Синтомицин мазь</v>
      </c>
      <c r="C39" s="36"/>
      <c r="D39" s="37" t="s">
        <v>25</v>
      </c>
      <c r="E39" s="38">
        <f>'[3]8-1 Леч тампон лекарств'!P55</f>
        <v>2.36</v>
      </c>
      <c r="F39" s="28"/>
      <c r="G39" s="37" t="s">
        <v>25</v>
      </c>
      <c r="H39" s="30">
        <f>1.9*$H$12/110</f>
        <v>0.17272727272727273</v>
      </c>
      <c r="I39" s="31"/>
      <c r="J39" s="31">
        <f t="shared" si="1"/>
        <v>0.17272727272727273</v>
      </c>
      <c r="K39" s="100"/>
      <c r="L39" s="100"/>
      <c r="M39" s="100"/>
      <c r="N39" s="100"/>
    </row>
    <row r="40" spans="1:14" s="32" customFormat="1" ht="15.75" x14ac:dyDescent="0.25">
      <c r="A40" s="99"/>
      <c r="B40" s="101" t="str">
        <f>'[3]8-1 Леч тампон лекарств'!L56</f>
        <v>Гентамицин мазь</v>
      </c>
      <c r="C40" s="36"/>
      <c r="D40" s="37" t="s">
        <v>25</v>
      </c>
      <c r="E40" s="38">
        <f>'[3]8-1 Леч тампон лекарств'!P56</f>
        <v>1.96</v>
      </c>
      <c r="F40" s="28"/>
      <c r="G40" s="37" t="s">
        <v>25</v>
      </c>
      <c r="H40" s="30">
        <f>1.5*$H$12/110</f>
        <v>0.13636363636363635</v>
      </c>
      <c r="I40" s="31"/>
      <c r="J40" s="31">
        <f t="shared" si="1"/>
        <v>0.13636363636363635</v>
      </c>
      <c r="K40" s="100"/>
      <c r="L40" s="100"/>
      <c r="M40" s="100"/>
      <c r="N40" s="100"/>
    </row>
    <row r="41" spans="1:14" s="32" customFormat="1" ht="15.75" hidden="1" x14ac:dyDescent="0.25">
      <c r="A41" s="99"/>
      <c r="B41" s="101" t="str">
        <f>'[3]8-1 Леч тампон лекарств'!L57</f>
        <v xml:space="preserve">Масло персик </v>
      </c>
      <c r="C41" s="36"/>
      <c r="D41" s="37" t="s">
        <v>25</v>
      </c>
      <c r="E41" s="38">
        <f>'[3]8-1 Леч тампон лекарств'!P57</f>
        <v>2.35</v>
      </c>
      <c r="F41" s="28"/>
      <c r="G41" s="37" t="s">
        <v>25</v>
      </c>
      <c r="H41" s="30">
        <f>0.94*H12/110</f>
        <v>8.5454545454545436E-2</v>
      </c>
      <c r="I41" s="31">
        <f>0.95*I12/120</f>
        <v>0.15833333333333333</v>
      </c>
      <c r="J41" s="31">
        <f t="shared" si="1"/>
        <v>0.24378787878787878</v>
      </c>
      <c r="K41" s="100"/>
      <c r="L41" s="100"/>
      <c r="M41" s="100"/>
      <c r="N41" s="100"/>
    </row>
    <row r="42" spans="1:14" s="32" customFormat="1" ht="15.75" hidden="1" x14ac:dyDescent="0.25">
      <c r="A42" s="99"/>
      <c r="B42" s="101" t="str">
        <f>'[3]8-1 Леч тампон лекарств'!L58</f>
        <v>Септомирин гель</v>
      </c>
      <c r="C42" s="36"/>
      <c r="D42" s="37" t="s">
        <v>25</v>
      </c>
      <c r="E42" s="38">
        <f>'[3]8-1 Леч тампон лекарств'!P58</f>
        <v>3.16</v>
      </c>
      <c r="F42" s="28"/>
      <c r="G42" s="37" t="s">
        <v>25</v>
      </c>
      <c r="H42" s="30">
        <f>2.7*$H$12/110</f>
        <v>0.24545454545454545</v>
      </c>
      <c r="I42" s="31"/>
      <c r="J42" s="31">
        <f t="shared" si="1"/>
        <v>0.24545454545454545</v>
      </c>
      <c r="K42" s="100"/>
      <c r="L42" s="100"/>
      <c r="M42" s="100"/>
      <c r="N42" s="100"/>
    </row>
    <row r="43" spans="1:14" s="32" customFormat="1" ht="15.75" hidden="1" x14ac:dyDescent="0.25">
      <c r="A43" s="99"/>
      <c r="B43" s="101" t="str">
        <f>'[3]8-1 Леч тампон лекарств'!L59</f>
        <v xml:space="preserve">Хлорофиллипт масл. р-р 20 мг/мл </v>
      </c>
      <c r="C43" s="36"/>
      <c r="D43" s="37" t="s">
        <v>25</v>
      </c>
      <c r="E43" s="38">
        <f>'[3]8-1 Леч тампон лекарств'!P59</f>
        <v>2.0499999999999998</v>
      </c>
      <c r="F43" s="28"/>
      <c r="G43" s="37" t="s">
        <v>25</v>
      </c>
      <c r="H43" s="30">
        <f>1.59*$H$12/110</f>
        <v>0.14454545454545456</v>
      </c>
      <c r="I43" s="31"/>
      <c r="J43" s="31">
        <f t="shared" si="1"/>
        <v>0.14454545454545456</v>
      </c>
      <c r="K43" s="100"/>
      <c r="L43" s="100"/>
      <c r="M43" s="100"/>
      <c r="N43" s="100"/>
    </row>
    <row r="44" spans="1:14" s="32" customFormat="1" ht="15.75" x14ac:dyDescent="0.25">
      <c r="A44" s="99"/>
      <c r="B44" s="101" t="str">
        <f>'[3]8-1 Леч тампон лекарств'!L60</f>
        <v>Грязь лечебная сапропелевая</v>
      </c>
      <c r="C44" s="36"/>
      <c r="D44" s="37" t="s">
        <v>25</v>
      </c>
      <c r="E44" s="38">
        <f>'[3]8-1 Леч тампон лекарств'!P60</f>
        <v>1.42</v>
      </c>
      <c r="F44" s="28"/>
      <c r="G44" s="37" t="s">
        <v>25</v>
      </c>
      <c r="H44" s="30">
        <f>0.94*H12/110</f>
        <v>8.5454545454545436E-2</v>
      </c>
      <c r="I44" s="31"/>
      <c r="J44" s="31">
        <f t="shared" si="1"/>
        <v>8.5454545454545436E-2</v>
      </c>
      <c r="K44" s="100"/>
      <c r="L44" s="100"/>
      <c r="M44" s="100"/>
      <c r="N44" s="100"/>
    </row>
    <row r="45" spans="1:14" s="32" customFormat="1" ht="30.95" hidden="1" customHeight="1" x14ac:dyDescent="0.25">
      <c r="A45" s="97" t="s">
        <v>80</v>
      </c>
      <c r="B45" s="102" t="str">
        <f>'[3]8-2 Леч тампоны с сак гр'!A11</f>
        <v>Лечебная процедура: введение лечебных тампонов с грязью Сакского озера</v>
      </c>
      <c r="C45" s="36">
        <f>'[3]8-2 Леч тампоны с сак гр'!G27</f>
        <v>3</v>
      </c>
      <c r="D45" s="37" t="s">
        <v>25</v>
      </c>
      <c r="E45" s="38">
        <f>'[3]8-2 Леч тампоны с сак гр'!P26</f>
        <v>5.6</v>
      </c>
      <c r="F45" s="28">
        <f>'[3]8-2р'!G27</f>
        <v>5.72</v>
      </c>
      <c r="G45" s="37" t="s">
        <v>25</v>
      </c>
      <c r="H45" s="30">
        <f>0.94*H12/110</f>
        <v>8.5454545454545436E-2</v>
      </c>
      <c r="I45" s="31">
        <f>4.2*I12/120</f>
        <v>0.7</v>
      </c>
      <c r="J45" s="31">
        <f t="shared" si="1"/>
        <v>0.78545454545454541</v>
      </c>
    </row>
    <row r="46" spans="1:14" s="32" customFormat="1" ht="30" customHeight="1" x14ac:dyDescent="0.25">
      <c r="A46" s="99" t="s">
        <v>81</v>
      </c>
      <c r="B46" s="98" t="str">
        <f>'[3]9 Орошение влаг мин вод'!A11</f>
        <v>Лечебная процедура: орошение влагалища (минеральной водой)</v>
      </c>
      <c r="C46" s="36">
        <f>'[3]9 Орошение влаг мин вод'!G27</f>
        <v>3</v>
      </c>
      <c r="D46" s="37" t="s">
        <v>25</v>
      </c>
      <c r="E46" s="38">
        <f>'[3]9 Орошение влаг мин вод'!P26</f>
        <v>1.62</v>
      </c>
      <c r="F46" s="28">
        <f>'[3]9р'!G27</f>
        <v>4.96</v>
      </c>
      <c r="G46" s="37" t="s">
        <v>25</v>
      </c>
      <c r="H46" s="30">
        <f>1.13*H12/110</f>
        <v>0.10272727272727272</v>
      </c>
      <c r="I46" s="31">
        <f>0.03*I12/120</f>
        <v>5.0000000000000001E-3</v>
      </c>
      <c r="J46" s="31">
        <f t="shared" si="1"/>
        <v>0.10772727272727273</v>
      </c>
    </row>
    <row r="47" spans="1:14" s="32" customFormat="1" ht="18" customHeight="1" thickBot="1" x14ac:dyDescent="0.3">
      <c r="A47" s="103" t="s">
        <v>50</v>
      </c>
      <c r="B47" s="104" t="str">
        <f>'[3]10 Массаж гинеколог'!A11</f>
        <v>Гинекологический массаж</v>
      </c>
      <c r="C47" s="105">
        <f>'[3]10 Массаж гинеколог'!G27</f>
        <v>10.42</v>
      </c>
      <c r="D47" s="79" t="s">
        <v>25</v>
      </c>
      <c r="E47" s="106">
        <f>'[3]10 Массаж гинеколог'!P32</f>
        <v>1.17</v>
      </c>
      <c r="F47" s="107">
        <f>'[3]10р'!G27</f>
        <v>17.86</v>
      </c>
      <c r="G47" s="79" t="s">
        <v>25</v>
      </c>
      <c r="H47" s="30">
        <f>0.89*$H$12/110</f>
        <v>8.0909090909090917E-2</v>
      </c>
      <c r="I47" s="31"/>
      <c r="J47" s="31">
        <f t="shared" si="1"/>
        <v>8.0909090909090917E-2</v>
      </c>
    </row>
    <row r="48" spans="1:14" s="32" customFormat="1" ht="33.75" hidden="1" customHeight="1" x14ac:dyDescent="0.25">
      <c r="A48" s="108" t="s">
        <v>51</v>
      </c>
      <c r="B48" s="109" t="str">
        <f>'[3]11 Введение ВМС'!A11</f>
        <v>Введение внутриматочного средства контрацепции</v>
      </c>
      <c r="C48" s="24">
        <f>'[3]11 Введение ВМС'!G27</f>
        <v>12.21</v>
      </c>
      <c r="D48" s="25" t="s">
        <v>25</v>
      </c>
      <c r="E48" s="26">
        <f>'[3]11 Введение ВМС'!P28</f>
        <v>2.35</v>
      </c>
      <c r="F48" s="28">
        <f>'[3]11р'!G27</f>
        <v>17.64</v>
      </c>
      <c r="G48" s="25" t="s">
        <v>25</v>
      </c>
      <c r="H48" s="30">
        <f>1.89*$H$12/110</f>
        <v>0.17181818181818181</v>
      </c>
      <c r="I48" s="31"/>
      <c r="J48" s="31">
        <f t="shared" si="1"/>
        <v>0.17181818181818181</v>
      </c>
    </row>
    <row r="49" spans="1:10" s="32" customFormat="1" ht="30" hidden="1" customHeight="1" x14ac:dyDescent="0.25">
      <c r="A49" s="103" t="s">
        <v>52</v>
      </c>
      <c r="B49" s="104" t="str">
        <f>'[3]12 Удаление ВМС'!A11</f>
        <v>Удаление внутриматочного средства контрацепции</v>
      </c>
      <c r="C49" s="105">
        <f>'[3]12 Удаление ВМС'!G27</f>
        <v>12.21</v>
      </c>
      <c r="D49" s="79" t="s">
        <v>25</v>
      </c>
      <c r="E49" s="106">
        <f>'[3]12 Удаление ВМС'!P27</f>
        <v>1.41</v>
      </c>
      <c r="F49" s="107">
        <f>'[3]12р'!G27</f>
        <v>17.64</v>
      </c>
      <c r="G49" s="79" t="s">
        <v>25</v>
      </c>
      <c r="H49" s="30">
        <f>0.95*$H$12/110</f>
        <v>8.6363636363636365E-2</v>
      </c>
      <c r="I49" s="31"/>
      <c r="J49" s="31">
        <f t="shared" si="1"/>
        <v>8.6363636363636365E-2</v>
      </c>
    </row>
    <row r="50" spans="1:10" ht="0.75" customHeight="1" thickBot="1" x14ac:dyDescent="0.3">
      <c r="A50" s="110"/>
      <c r="B50" s="111"/>
      <c r="C50" s="112"/>
      <c r="D50" s="112"/>
      <c r="E50" s="112"/>
      <c r="F50" s="112"/>
      <c r="G50" s="112"/>
    </row>
    <row r="51" spans="1:10" ht="4.5" customHeight="1" x14ac:dyDescent="0.25">
      <c r="A51" s="10"/>
      <c r="B51" s="87"/>
      <c r="C51" s="10"/>
      <c r="D51" s="10"/>
      <c r="E51" s="10"/>
      <c r="F51" s="10"/>
      <c r="G51" s="10"/>
    </row>
    <row r="52" spans="1:10" ht="4.5" customHeight="1" x14ac:dyDescent="0.25">
      <c r="A52" s="10"/>
      <c r="B52" s="87"/>
      <c r="C52" s="10"/>
      <c r="D52" s="10"/>
      <c r="E52" s="10"/>
      <c r="F52" s="10"/>
      <c r="G52" s="10"/>
    </row>
    <row r="53" spans="1:10" x14ac:dyDescent="0.25">
      <c r="A53" s="10" t="s">
        <v>55</v>
      </c>
      <c r="B53" s="10"/>
      <c r="C53" s="10"/>
      <c r="D53" s="10"/>
      <c r="F53" s="113" t="s">
        <v>56</v>
      </c>
      <c r="G53" s="10"/>
    </row>
    <row r="54" spans="1:10" ht="4.5" customHeight="1" x14ac:dyDescent="0.25">
      <c r="A54" s="10"/>
      <c r="B54" s="10"/>
      <c r="C54" s="10"/>
      <c r="D54" s="10"/>
      <c r="F54" s="113"/>
      <c r="G54" s="10"/>
    </row>
    <row r="55" spans="1:10" ht="4.5" customHeight="1" x14ac:dyDescent="0.25">
      <c r="A55" s="10"/>
      <c r="B55" s="10"/>
      <c r="C55" s="10"/>
      <c r="D55" s="10"/>
      <c r="F55" s="113"/>
      <c r="G55" s="10"/>
    </row>
    <row r="56" spans="1:10" x14ac:dyDescent="0.25">
      <c r="A56" s="10" t="s">
        <v>82</v>
      </c>
      <c r="B56" s="10"/>
      <c r="C56" s="10"/>
      <c r="D56" s="10"/>
      <c r="F56" s="113" t="s">
        <v>83</v>
      </c>
      <c r="G56" s="10"/>
    </row>
    <row r="57" spans="1:10" x14ac:dyDescent="0.25">
      <c r="A57" s="10"/>
      <c r="B57" s="10"/>
      <c r="C57" s="10"/>
      <c r="D57" s="10"/>
      <c r="F57" s="113"/>
      <c r="G57" s="10"/>
    </row>
    <row r="58" spans="1:10" x14ac:dyDescent="0.25">
      <c r="A58" s="10" t="s">
        <v>84</v>
      </c>
      <c r="B58" s="10"/>
      <c r="C58" s="10"/>
      <c r="D58" s="10"/>
      <c r="F58" s="113" t="s">
        <v>58</v>
      </c>
      <c r="G58" s="10"/>
    </row>
    <row r="59" spans="1:10" ht="14.25" customHeight="1" x14ac:dyDescent="0.25">
      <c r="A59" s="10" t="s">
        <v>85</v>
      </c>
      <c r="B59" s="10"/>
      <c r="C59" s="10"/>
      <c r="D59" s="10"/>
      <c r="F59" s="113" t="s">
        <v>60</v>
      </c>
      <c r="G59" s="10"/>
    </row>
    <row r="60" spans="1:10" x14ac:dyDescent="0.25">
      <c r="A60" s="10"/>
      <c r="B60" s="10"/>
      <c r="C60" s="10"/>
      <c r="D60" s="10"/>
      <c r="E60" s="10"/>
      <c r="F60" s="10"/>
      <c r="G60" s="10"/>
    </row>
    <row r="61" spans="1:10" ht="17.25" hidden="1" customHeight="1" x14ac:dyDescent="0.25">
      <c r="A61" s="10" t="s">
        <v>62</v>
      </c>
      <c r="B61" s="10"/>
      <c r="C61" s="10"/>
      <c r="D61" s="10"/>
      <c r="E61" s="10"/>
      <c r="F61" s="10"/>
      <c r="G61" s="10"/>
    </row>
    <row r="62" spans="1:10" hidden="1" x14ac:dyDescent="0.25">
      <c r="A62" s="10" t="s">
        <v>63</v>
      </c>
      <c r="B62" s="10"/>
      <c r="C62" s="10"/>
      <c r="D62" s="10"/>
      <c r="E62" s="10"/>
      <c r="F62" s="10"/>
      <c r="G62" s="10"/>
    </row>
    <row r="63" spans="1:10" x14ac:dyDescent="0.25">
      <c r="A63" s="10"/>
      <c r="B63" s="87"/>
      <c r="C63" s="10"/>
      <c r="D63" s="10"/>
      <c r="E63" s="10"/>
      <c r="F63" s="10"/>
      <c r="G63" s="10"/>
    </row>
    <row r="64" spans="1:10" x14ac:dyDescent="0.25">
      <c r="A64" s="10"/>
      <c r="B64" s="87"/>
      <c r="C64" s="10"/>
      <c r="D64" s="10"/>
      <c r="E64" s="10"/>
      <c r="F64" s="10"/>
      <c r="G64" s="10"/>
    </row>
    <row r="65" spans="1:7" x14ac:dyDescent="0.25">
      <c r="A65" s="10"/>
      <c r="B65" s="87"/>
      <c r="C65" s="10"/>
      <c r="D65" s="10"/>
      <c r="E65" s="10"/>
      <c r="F65" s="10"/>
      <c r="G65" s="10"/>
    </row>
    <row r="66" spans="1:7" x14ac:dyDescent="0.25">
      <c r="A66" s="10"/>
      <c r="B66" s="10"/>
      <c r="C66" s="10"/>
      <c r="D66" s="10"/>
      <c r="E66" s="10"/>
      <c r="F66" s="10"/>
      <c r="G66" s="10"/>
    </row>
    <row r="68" spans="1:7" x14ac:dyDescent="0.25">
      <c r="B68" s="20"/>
    </row>
    <row r="69" spans="1:7" x14ac:dyDescent="0.25">
      <c r="B69" s="20"/>
    </row>
    <row r="70" spans="1:7" x14ac:dyDescent="0.25">
      <c r="B70" s="20"/>
    </row>
  </sheetData>
  <mergeCells count="12">
    <mergeCell ref="H11:J11"/>
    <mergeCell ref="A13:G13"/>
    <mergeCell ref="D3:F3"/>
    <mergeCell ref="A6:G6"/>
    <mergeCell ref="A7:G7"/>
    <mergeCell ref="A8:G8"/>
    <mergeCell ref="A9:G9"/>
    <mergeCell ref="A11:A12"/>
    <mergeCell ref="B11:B12"/>
    <mergeCell ref="C11:D11"/>
    <mergeCell ref="E11:E12"/>
    <mergeCell ref="F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opLeftCell="A7" workbookViewId="0">
      <selection sqref="A1:XFD1048576"/>
    </sheetView>
  </sheetViews>
  <sheetFormatPr defaultRowHeight="15" x14ac:dyDescent="0.25"/>
  <cols>
    <col min="1" max="1" width="7.140625" style="3" customWidth="1"/>
    <col min="2" max="2" width="59.140625" style="3" customWidth="1"/>
    <col min="3" max="3" width="9.7109375" style="3" customWidth="1"/>
    <col min="4" max="4" width="12.85546875" style="3" customWidth="1"/>
    <col min="5" max="5" width="12.42578125" style="3" customWidth="1"/>
    <col min="6" max="6" width="14.85546875" style="3" customWidth="1"/>
    <col min="7" max="7" width="13.5703125" style="3" customWidth="1"/>
    <col min="8" max="8" width="12.7109375" style="3" customWidth="1"/>
    <col min="9" max="256" width="9.140625" style="3"/>
    <col min="257" max="257" width="7.140625" style="3" customWidth="1"/>
    <col min="258" max="258" width="59.140625" style="3" customWidth="1"/>
    <col min="259" max="259" width="9.7109375" style="3" customWidth="1"/>
    <col min="260" max="260" width="12.85546875" style="3" customWidth="1"/>
    <col min="261" max="261" width="12.42578125" style="3" customWidth="1"/>
    <col min="262" max="262" width="14.85546875" style="3" customWidth="1"/>
    <col min="263" max="263" width="13.5703125" style="3" customWidth="1"/>
    <col min="264" max="264" width="12.7109375" style="3" customWidth="1"/>
    <col min="265" max="512" width="9.140625" style="3"/>
    <col min="513" max="513" width="7.140625" style="3" customWidth="1"/>
    <col min="514" max="514" width="59.140625" style="3" customWidth="1"/>
    <col min="515" max="515" width="9.7109375" style="3" customWidth="1"/>
    <col min="516" max="516" width="12.85546875" style="3" customWidth="1"/>
    <col min="517" max="517" width="12.42578125" style="3" customWidth="1"/>
    <col min="518" max="518" width="14.85546875" style="3" customWidth="1"/>
    <col min="519" max="519" width="13.5703125" style="3" customWidth="1"/>
    <col min="520" max="520" width="12.7109375" style="3" customWidth="1"/>
    <col min="521" max="768" width="9.140625" style="3"/>
    <col min="769" max="769" width="7.140625" style="3" customWidth="1"/>
    <col min="770" max="770" width="59.140625" style="3" customWidth="1"/>
    <col min="771" max="771" width="9.7109375" style="3" customWidth="1"/>
    <col min="772" max="772" width="12.85546875" style="3" customWidth="1"/>
    <col min="773" max="773" width="12.42578125" style="3" customWidth="1"/>
    <col min="774" max="774" width="14.85546875" style="3" customWidth="1"/>
    <col min="775" max="775" width="13.5703125" style="3" customWidth="1"/>
    <col min="776" max="776" width="12.7109375" style="3" customWidth="1"/>
    <col min="777" max="1024" width="9.140625" style="3"/>
    <col min="1025" max="1025" width="7.140625" style="3" customWidth="1"/>
    <col min="1026" max="1026" width="59.140625" style="3" customWidth="1"/>
    <col min="1027" max="1027" width="9.7109375" style="3" customWidth="1"/>
    <col min="1028" max="1028" width="12.85546875" style="3" customWidth="1"/>
    <col min="1029" max="1029" width="12.42578125" style="3" customWidth="1"/>
    <col min="1030" max="1030" width="14.85546875" style="3" customWidth="1"/>
    <col min="1031" max="1031" width="13.5703125" style="3" customWidth="1"/>
    <col min="1032" max="1032" width="12.7109375" style="3" customWidth="1"/>
    <col min="1033" max="1280" width="9.140625" style="3"/>
    <col min="1281" max="1281" width="7.140625" style="3" customWidth="1"/>
    <col min="1282" max="1282" width="59.140625" style="3" customWidth="1"/>
    <col min="1283" max="1283" width="9.7109375" style="3" customWidth="1"/>
    <col min="1284" max="1284" width="12.85546875" style="3" customWidth="1"/>
    <col min="1285" max="1285" width="12.42578125" style="3" customWidth="1"/>
    <col min="1286" max="1286" width="14.85546875" style="3" customWidth="1"/>
    <col min="1287" max="1287" width="13.5703125" style="3" customWidth="1"/>
    <col min="1288" max="1288" width="12.7109375" style="3" customWidth="1"/>
    <col min="1289" max="1536" width="9.140625" style="3"/>
    <col min="1537" max="1537" width="7.140625" style="3" customWidth="1"/>
    <col min="1538" max="1538" width="59.140625" style="3" customWidth="1"/>
    <col min="1539" max="1539" width="9.7109375" style="3" customWidth="1"/>
    <col min="1540" max="1540" width="12.85546875" style="3" customWidth="1"/>
    <col min="1541" max="1541" width="12.42578125" style="3" customWidth="1"/>
    <col min="1542" max="1542" width="14.85546875" style="3" customWidth="1"/>
    <col min="1543" max="1543" width="13.5703125" style="3" customWidth="1"/>
    <col min="1544" max="1544" width="12.7109375" style="3" customWidth="1"/>
    <col min="1545" max="1792" width="9.140625" style="3"/>
    <col min="1793" max="1793" width="7.140625" style="3" customWidth="1"/>
    <col min="1794" max="1794" width="59.140625" style="3" customWidth="1"/>
    <col min="1795" max="1795" width="9.7109375" style="3" customWidth="1"/>
    <col min="1796" max="1796" width="12.85546875" style="3" customWidth="1"/>
    <col min="1797" max="1797" width="12.42578125" style="3" customWidth="1"/>
    <col min="1798" max="1798" width="14.85546875" style="3" customWidth="1"/>
    <col min="1799" max="1799" width="13.5703125" style="3" customWidth="1"/>
    <col min="1800" max="1800" width="12.7109375" style="3" customWidth="1"/>
    <col min="1801" max="2048" width="9.140625" style="3"/>
    <col min="2049" max="2049" width="7.140625" style="3" customWidth="1"/>
    <col min="2050" max="2050" width="59.140625" style="3" customWidth="1"/>
    <col min="2051" max="2051" width="9.7109375" style="3" customWidth="1"/>
    <col min="2052" max="2052" width="12.85546875" style="3" customWidth="1"/>
    <col min="2053" max="2053" width="12.42578125" style="3" customWidth="1"/>
    <col min="2054" max="2054" width="14.85546875" style="3" customWidth="1"/>
    <col min="2055" max="2055" width="13.5703125" style="3" customWidth="1"/>
    <col min="2056" max="2056" width="12.7109375" style="3" customWidth="1"/>
    <col min="2057" max="2304" width="9.140625" style="3"/>
    <col min="2305" max="2305" width="7.140625" style="3" customWidth="1"/>
    <col min="2306" max="2306" width="59.140625" style="3" customWidth="1"/>
    <col min="2307" max="2307" width="9.7109375" style="3" customWidth="1"/>
    <col min="2308" max="2308" width="12.85546875" style="3" customWidth="1"/>
    <col min="2309" max="2309" width="12.42578125" style="3" customWidth="1"/>
    <col min="2310" max="2310" width="14.85546875" style="3" customWidth="1"/>
    <col min="2311" max="2311" width="13.5703125" style="3" customWidth="1"/>
    <col min="2312" max="2312" width="12.7109375" style="3" customWidth="1"/>
    <col min="2313" max="2560" width="9.140625" style="3"/>
    <col min="2561" max="2561" width="7.140625" style="3" customWidth="1"/>
    <col min="2562" max="2562" width="59.140625" style="3" customWidth="1"/>
    <col min="2563" max="2563" width="9.7109375" style="3" customWidth="1"/>
    <col min="2564" max="2564" width="12.85546875" style="3" customWidth="1"/>
    <col min="2565" max="2565" width="12.42578125" style="3" customWidth="1"/>
    <col min="2566" max="2566" width="14.85546875" style="3" customWidth="1"/>
    <col min="2567" max="2567" width="13.5703125" style="3" customWidth="1"/>
    <col min="2568" max="2568" width="12.7109375" style="3" customWidth="1"/>
    <col min="2569" max="2816" width="9.140625" style="3"/>
    <col min="2817" max="2817" width="7.140625" style="3" customWidth="1"/>
    <col min="2818" max="2818" width="59.140625" style="3" customWidth="1"/>
    <col min="2819" max="2819" width="9.7109375" style="3" customWidth="1"/>
    <col min="2820" max="2820" width="12.85546875" style="3" customWidth="1"/>
    <col min="2821" max="2821" width="12.42578125" style="3" customWidth="1"/>
    <col min="2822" max="2822" width="14.85546875" style="3" customWidth="1"/>
    <col min="2823" max="2823" width="13.5703125" style="3" customWidth="1"/>
    <col min="2824" max="2824" width="12.7109375" style="3" customWidth="1"/>
    <col min="2825" max="3072" width="9.140625" style="3"/>
    <col min="3073" max="3073" width="7.140625" style="3" customWidth="1"/>
    <col min="3074" max="3074" width="59.140625" style="3" customWidth="1"/>
    <col min="3075" max="3075" width="9.7109375" style="3" customWidth="1"/>
    <col min="3076" max="3076" width="12.85546875" style="3" customWidth="1"/>
    <col min="3077" max="3077" width="12.42578125" style="3" customWidth="1"/>
    <col min="3078" max="3078" width="14.85546875" style="3" customWidth="1"/>
    <col min="3079" max="3079" width="13.5703125" style="3" customWidth="1"/>
    <col min="3080" max="3080" width="12.7109375" style="3" customWidth="1"/>
    <col min="3081" max="3328" width="9.140625" style="3"/>
    <col min="3329" max="3329" width="7.140625" style="3" customWidth="1"/>
    <col min="3330" max="3330" width="59.140625" style="3" customWidth="1"/>
    <col min="3331" max="3331" width="9.7109375" style="3" customWidth="1"/>
    <col min="3332" max="3332" width="12.85546875" style="3" customWidth="1"/>
    <col min="3333" max="3333" width="12.42578125" style="3" customWidth="1"/>
    <col min="3334" max="3334" width="14.85546875" style="3" customWidth="1"/>
    <col min="3335" max="3335" width="13.5703125" style="3" customWidth="1"/>
    <col min="3336" max="3336" width="12.7109375" style="3" customWidth="1"/>
    <col min="3337" max="3584" width="9.140625" style="3"/>
    <col min="3585" max="3585" width="7.140625" style="3" customWidth="1"/>
    <col min="3586" max="3586" width="59.140625" style="3" customWidth="1"/>
    <col min="3587" max="3587" width="9.7109375" style="3" customWidth="1"/>
    <col min="3588" max="3588" width="12.85546875" style="3" customWidth="1"/>
    <col min="3589" max="3589" width="12.42578125" style="3" customWidth="1"/>
    <col min="3590" max="3590" width="14.85546875" style="3" customWidth="1"/>
    <col min="3591" max="3591" width="13.5703125" style="3" customWidth="1"/>
    <col min="3592" max="3592" width="12.7109375" style="3" customWidth="1"/>
    <col min="3593" max="3840" width="9.140625" style="3"/>
    <col min="3841" max="3841" width="7.140625" style="3" customWidth="1"/>
    <col min="3842" max="3842" width="59.140625" style="3" customWidth="1"/>
    <col min="3843" max="3843" width="9.7109375" style="3" customWidth="1"/>
    <col min="3844" max="3844" width="12.85546875" style="3" customWidth="1"/>
    <col min="3845" max="3845" width="12.42578125" style="3" customWidth="1"/>
    <col min="3846" max="3846" width="14.85546875" style="3" customWidth="1"/>
    <col min="3847" max="3847" width="13.5703125" style="3" customWidth="1"/>
    <col min="3848" max="3848" width="12.7109375" style="3" customWidth="1"/>
    <col min="3849" max="4096" width="9.140625" style="3"/>
    <col min="4097" max="4097" width="7.140625" style="3" customWidth="1"/>
    <col min="4098" max="4098" width="59.140625" style="3" customWidth="1"/>
    <col min="4099" max="4099" width="9.7109375" style="3" customWidth="1"/>
    <col min="4100" max="4100" width="12.85546875" style="3" customWidth="1"/>
    <col min="4101" max="4101" width="12.42578125" style="3" customWidth="1"/>
    <col min="4102" max="4102" width="14.85546875" style="3" customWidth="1"/>
    <col min="4103" max="4103" width="13.5703125" style="3" customWidth="1"/>
    <col min="4104" max="4104" width="12.7109375" style="3" customWidth="1"/>
    <col min="4105" max="4352" width="9.140625" style="3"/>
    <col min="4353" max="4353" width="7.140625" style="3" customWidth="1"/>
    <col min="4354" max="4354" width="59.140625" style="3" customWidth="1"/>
    <col min="4355" max="4355" width="9.7109375" style="3" customWidth="1"/>
    <col min="4356" max="4356" width="12.85546875" style="3" customWidth="1"/>
    <col min="4357" max="4357" width="12.42578125" style="3" customWidth="1"/>
    <col min="4358" max="4358" width="14.85546875" style="3" customWidth="1"/>
    <col min="4359" max="4359" width="13.5703125" style="3" customWidth="1"/>
    <col min="4360" max="4360" width="12.7109375" style="3" customWidth="1"/>
    <col min="4361" max="4608" width="9.140625" style="3"/>
    <col min="4609" max="4609" width="7.140625" style="3" customWidth="1"/>
    <col min="4610" max="4610" width="59.140625" style="3" customWidth="1"/>
    <col min="4611" max="4611" width="9.7109375" style="3" customWidth="1"/>
    <col min="4612" max="4612" width="12.85546875" style="3" customWidth="1"/>
    <col min="4613" max="4613" width="12.42578125" style="3" customWidth="1"/>
    <col min="4614" max="4614" width="14.85546875" style="3" customWidth="1"/>
    <col min="4615" max="4615" width="13.5703125" style="3" customWidth="1"/>
    <col min="4616" max="4616" width="12.7109375" style="3" customWidth="1"/>
    <col min="4617" max="4864" width="9.140625" style="3"/>
    <col min="4865" max="4865" width="7.140625" style="3" customWidth="1"/>
    <col min="4866" max="4866" width="59.140625" style="3" customWidth="1"/>
    <col min="4867" max="4867" width="9.7109375" style="3" customWidth="1"/>
    <col min="4868" max="4868" width="12.85546875" style="3" customWidth="1"/>
    <col min="4869" max="4869" width="12.42578125" style="3" customWidth="1"/>
    <col min="4870" max="4870" width="14.85546875" style="3" customWidth="1"/>
    <col min="4871" max="4871" width="13.5703125" style="3" customWidth="1"/>
    <col min="4872" max="4872" width="12.7109375" style="3" customWidth="1"/>
    <col min="4873" max="5120" width="9.140625" style="3"/>
    <col min="5121" max="5121" width="7.140625" style="3" customWidth="1"/>
    <col min="5122" max="5122" width="59.140625" style="3" customWidth="1"/>
    <col min="5123" max="5123" width="9.7109375" style="3" customWidth="1"/>
    <col min="5124" max="5124" width="12.85546875" style="3" customWidth="1"/>
    <col min="5125" max="5125" width="12.42578125" style="3" customWidth="1"/>
    <col min="5126" max="5126" width="14.85546875" style="3" customWidth="1"/>
    <col min="5127" max="5127" width="13.5703125" style="3" customWidth="1"/>
    <col min="5128" max="5128" width="12.7109375" style="3" customWidth="1"/>
    <col min="5129" max="5376" width="9.140625" style="3"/>
    <col min="5377" max="5377" width="7.140625" style="3" customWidth="1"/>
    <col min="5378" max="5378" width="59.140625" style="3" customWidth="1"/>
    <col min="5379" max="5379" width="9.7109375" style="3" customWidth="1"/>
    <col min="5380" max="5380" width="12.85546875" style="3" customWidth="1"/>
    <col min="5381" max="5381" width="12.42578125" style="3" customWidth="1"/>
    <col min="5382" max="5382" width="14.85546875" style="3" customWidth="1"/>
    <col min="5383" max="5383" width="13.5703125" style="3" customWidth="1"/>
    <col min="5384" max="5384" width="12.7109375" style="3" customWidth="1"/>
    <col min="5385" max="5632" width="9.140625" style="3"/>
    <col min="5633" max="5633" width="7.140625" style="3" customWidth="1"/>
    <col min="5634" max="5634" width="59.140625" style="3" customWidth="1"/>
    <col min="5635" max="5635" width="9.7109375" style="3" customWidth="1"/>
    <col min="5636" max="5636" width="12.85546875" style="3" customWidth="1"/>
    <col min="5637" max="5637" width="12.42578125" style="3" customWidth="1"/>
    <col min="5638" max="5638" width="14.85546875" style="3" customWidth="1"/>
    <col min="5639" max="5639" width="13.5703125" style="3" customWidth="1"/>
    <col min="5640" max="5640" width="12.7109375" style="3" customWidth="1"/>
    <col min="5641" max="5888" width="9.140625" style="3"/>
    <col min="5889" max="5889" width="7.140625" style="3" customWidth="1"/>
    <col min="5890" max="5890" width="59.140625" style="3" customWidth="1"/>
    <col min="5891" max="5891" width="9.7109375" style="3" customWidth="1"/>
    <col min="5892" max="5892" width="12.85546875" style="3" customWidth="1"/>
    <col min="5893" max="5893" width="12.42578125" style="3" customWidth="1"/>
    <col min="5894" max="5894" width="14.85546875" style="3" customWidth="1"/>
    <col min="5895" max="5895" width="13.5703125" style="3" customWidth="1"/>
    <col min="5896" max="5896" width="12.7109375" style="3" customWidth="1"/>
    <col min="5897" max="6144" width="9.140625" style="3"/>
    <col min="6145" max="6145" width="7.140625" style="3" customWidth="1"/>
    <col min="6146" max="6146" width="59.140625" style="3" customWidth="1"/>
    <col min="6147" max="6147" width="9.7109375" style="3" customWidth="1"/>
    <col min="6148" max="6148" width="12.85546875" style="3" customWidth="1"/>
    <col min="6149" max="6149" width="12.42578125" style="3" customWidth="1"/>
    <col min="6150" max="6150" width="14.85546875" style="3" customWidth="1"/>
    <col min="6151" max="6151" width="13.5703125" style="3" customWidth="1"/>
    <col min="6152" max="6152" width="12.7109375" style="3" customWidth="1"/>
    <col min="6153" max="6400" width="9.140625" style="3"/>
    <col min="6401" max="6401" width="7.140625" style="3" customWidth="1"/>
    <col min="6402" max="6402" width="59.140625" style="3" customWidth="1"/>
    <col min="6403" max="6403" width="9.7109375" style="3" customWidth="1"/>
    <col min="6404" max="6404" width="12.85546875" style="3" customWidth="1"/>
    <col min="6405" max="6405" width="12.42578125" style="3" customWidth="1"/>
    <col min="6406" max="6406" width="14.85546875" style="3" customWidth="1"/>
    <col min="6407" max="6407" width="13.5703125" style="3" customWidth="1"/>
    <col min="6408" max="6408" width="12.7109375" style="3" customWidth="1"/>
    <col min="6409" max="6656" width="9.140625" style="3"/>
    <col min="6657" max="6657" width="7.140625" style="3" customWidth="1"/>
    <col min="6658" max="6658" width="59.140625" style="3" customWidth="1"/>
    <col min="6659" max="6659" width="9.7109375" style="3" customWidth="1"/>
    <col min="6660" max="6660" width="12.85546875" style="3" customWidth="1"/>
    <col min="6661" max="6661" width="12.42578125" style="3" customWidth="1"/>
    <col min="6662" max="6662" width="14.85546875" style="3" customWidth="1"/>
    <col min="6663" max="6663" width="13.5703125" style="3" customWidth="1"/>
    <col min="6664" max="6664" width="12.7109375" style="3" customWidth="1"/>
    <col min="6665" max="6912" width="9.140625" style="3"/>
    <col min="6913" max="6913" width="7.140625" style="3" customWidth="1"/>
    <col min="6914" max="6914" width="59.140625" style="3" customWidth="1"/>
    <col min="6915" max="6915" width="9.7109375" style="3" customWidth="1"/>
    <col min="6916" max="6916" width="12.85546875" style="3" customWidth="1"/>
    <col min="6917" max="6917" width="12.42578125" style="3" customWidth="1"/>
    <col min="6918" max="6918" width="14.85546875" style="3" customWidth="1"/>
    <col min="6919" max="6919" width="13.5703125" style="3" customWidth="1"/>
    <col min="6920" max="6920" width="12.7109375" style="3" customWidth="1"/>
    <col min="6921" max="7168" width="9.140625" style="3"/>
    <col min="7169" max="7169" width="7.140625" style="3" customWidth="1"/>
    <col min="7170" max="7170" width="59.140625" style="3" customWidth="1"/>
    <col min="7171" max="7171" width="9.7109375" style="3" customWidth="1"/>
    <col min="7172" max="7172" width="12.85546875" style="3" customWidth="1"/>
    <col min="7173" max="7173" width="12.42578125" style="3" customWidth="1"/>
    <col min="7174" max="7174" width="14.85546875" style="3" customWidth="1"/>
    <col min="7175" max="7175" width="13.5703125" style="3" customWidth="1"/>
    <col min="7176" max="7176" width="12.7109375" style="3" customWidth="1"/>
    <col min="7177" max="7424" width="9.140625" style="3"/>
    <col min="7425" max="7425" width="7.140625" style="3" customWidth="1"/>
    <col min="7426" max="7426" width="59.140625" style="3" customWidth="1"/>
    <col min="7427" max="7427" width="9.7109375" style="3" customWidth="1"/>
    <col min="7428" max="7428" width="12.85546875" style="3" customWidth="1"/>
    <col min="7429" max="7429" width="12.42578125" style="3" customWidth="1"/>
    <col min="7430" max="7430" width="14.85546875" style="3" customWidth="1"/>
    <col min="7431" max="7431" width="13.5703125" style="3" customWidth="1"/>
    <col min="7432" max="7432" width="12.7109375" style="3" customWidth="1"/>
    <col min="7433" max="7680" width="9.140625" style="3"/>
    <col min="7681" max="7681" width="7.140625" style="3" customWidth="1"/>
    <col min="7682" max="7682" width="59.140625" style="3" customWidth="1"/>
    <col min="7683" max="7683" width="9.7109375" style="3" customWidth="1"/>
    <col min="7684" max="7684" width="12.85546875" style="3" customWidth="1"/>
    <col min="7685" max="7685" width="12.42578125" style="3" customWidth="1"/>
    <col min="7686" max="7686" width="14.85546875" style="3" customWidth="1"/>
    <col min="7687" max="7687" width="13.5703125" style="3" customWidth="1"/>
    <col min="7688" max="7688" width="12.7109375" style="3" customWidth="1"/>
    <col min="7689" max="7936" width="9.140625" style="3"/>
    <col min="7937" max="7937" width="7.140625" style="3" customWidth="1"/>
    <col min="7938" max="7938" width="59.140625" style="3" customWidth="1"/>
    <col min="7939" max="7939" width="9.7109375" style="3" customWidth="1"/>
    <col min="7940" max="7940" width="12.85546875" style="3" customWidth="1"/>
    <col min="7941" max="7941" width="12.42578125" style="3" customWidth="1"/>
    <col min="7942" max="7942" width="14.85546875" style="3" customWidth="1"/>
    <col min="7943" max="7943" width="13.5703125" style="3" customWidth="1"/>
    <col min="7944" max="7944" width="12.7109375" style="3" customWidth="1"/>
    <col min="7945" max="8192" width="9.140625" style="3"/>
    <col min="8193" max="8193" width="7.140625" style="3" customWidth="1"/>
    <col min="8194" max="8194" width="59.140625" style="3" customWidth="1"/>
    <col min="8195" max="8195" width="9.7109375" style="3" customWidth="1"/>
    <col min="8196" max="8196" width="12.85546875" style="3" customWidth="1"/>
    <col min="8197" max="8197" width="12.42578125" style="3" customWidth="1"/>
    <col min="8198" max="8198" width="14.85546875" style="3" customWidth="1"/>
    <col min="8199" max="8199" width="13.5703125" style="3" customWidth="1"/>
    <col min="8200" max="8200" width="12.7109375" style="3" customWidth="1"/>
    <col min="8201" max="8448" width="9.140625" style="3"/>
    <col min="8449" max="8449" width="7.140625" style="3" customWidth="1"/>
    <col min="8450" max="8450" width="59.140625" style="3" customWidth="1"/>
    <col min="8451" max="8451" width="9.7109375" style="3" customWidth="1"/>
    <col min="8452" max="8452" width="12.85546875" style="3" customWidth="1"/>
    <col min="8453" max="8453" width="12.42578125" style="3" customWidth="1"/>
    <col min="8454" max="8454" width="14.85546875" style="3" customWidth="1"/>
    <col min="8455" max="8455" width="13.5703125" style="3" customWidth="1"/>
    <col min="8456" max="8456" width="12.7109375" style="3" customWidth="1"/>
    <col min="8457" max="8704" width="9.140625" style="3"/>
    <col min="8705" max="8705" width="7.140625" style="3" customWidth="1"/>
    <col min="8706" max="8706" width="59.140625" style="3" customWidth="1"/>
    <col min="8707" max="8707" width="9.7109375" style="3" customWidth="1"/>
    <col min="8708" max="8708" width="12.85546875" style="3" customWidth="1"/>
    <col min="8709" max="8709" width="12.42578125" style="3" customWidth="1"/>
    <col min="8710" max="8710" width="14.85546875" style="3" customWidth="1"/>
    <col min="8711" max="8711" width="13.5703125" style="3" customWidth="1"/>
    <col min="8712" max="8712" width="12.7109375" style="3" customWidth="1"/>
    <col min="8713" max="8960" width="9.140625" style="3"/>
    <col min="8961" max="8961" width="7.140625" style="3" customWidth="1"/>
    <col min="8962" max="8962" width="59.140625" style="3" customWidth="1"/>
    <col min="8963" max="8963" width="9.7109375" style="3" customWidth="1"/>
    <col min="8964" max="8964" width="12.85546875" style="3" customWidth="1"/>
    <col min="8965" max="8965" width="12.42578125" style="3" customWidth="1"/>
    <col min="8966" max="8966" width="14.85546875" style="3" customWidth="1"/>
    <col min="8967" max="8967" width="13.5703125" style="3" customWidth="1"/>
    <col min="8968" max="8968" width="12.7109375" style="3" customWidth="1"/>
    <col min="8969" max="9216" width="9.140625" style="3"/>
    <col min="9217" max="9217" width="7.140625" style="3" customWidth="1"/>
    <col min="9218" max="9218" width="59.140625" style="3" customWidth="1"/>
    <col min="9219" max="9219" width="9.7109375" style="3" customWidth="1"/>
    <col min="9220" max="9220" width="12.85546875" style="3" customWidth="1"/>
    <col min="9221" max="9221" width="12.42578125" style="3" customWidth="1"/>
    <col min="9222" max="9222" width="14.85546875" style="3" customWidth="1"/>
    <col min="9223" max="9223" width="13.5703125" style="3" customWidth="1"/>
    <col min="9224" max="9224" width="12.7109375" style="3" customWidth="1"/>
    <col min="9225" max="9472" width="9.140625" style="3"/>
    <col min="9473" max="9473" width="7.140625" style="3" customWidth="1"/>
    <col min="9474" max="9474" width="59.140625" style="3" customWidth="1"/>
    <col min="9475" max="9475" width="9.7109375" style="3" customWidth="1"/>
    <col min="9476" max="9476" width="12.85546875" style="3" customWidth="1"/>
    <col min="9477" max="9477" width="12.42578125" style="3" customWidth="1"/>
    <col min="9478" max="9478" width="14.85546875" style="3" customWidth="1"/>
    <col min="9479" max="9479" width="13.5703125" style="3" customWidth="1"/>
    <col min="9480" max="9480" width="12.7109375" style="3" customWidth="1"/>
    <col min="9481" max="9728" width="9.140625" style="3"/>
    <col min="9729" max="9729" width="7.140625" style="3" customWidth="1"/>
    <col min="9730" max="9730" width="59.140625" style="3" customWidth="1"/>
    <col min="9731" max="9731" width="9.7109375" style="3" customWidth="1"/>
    <col min="9732" max="9732" width="12.85546875" style="3" customWidth="1"/>
    <col min="9733" max="9733" width="12.42578125" style="3" customWidth="1"/>
    <col min="9734" max="9734" width="14.85546875" style="3" customWidth="1"/>
    <col min="9735" max="9735" width="13.5703125" style="3" customWidth="1"/>
    <col min="9736" max="9736" width="12.7109375" style="3" customWidth="1"/>
    <col min="9737" max="9984" width="9.140625" style="3"/>
    <col min="9985" max="9985" width="7.140625" style="3" customWidth="1"/>
    <col min="9986" max="9986" width="59.140625" style="3" customWidth="1"/>
    <col min="9987" max="9987" width="9.7109375" style="3" customWidth="1"/>
    <col min="9988" max="9988" width="12.85546875" style="3" customWidth="1"/>
    <col min="9989" max="9989" width="12.42578125" style="3" customWidth="1"/>
    <col min="9990" max="9990" width="14.85546875" style="3" customWidth="1"/>
    <col min="9991" max="9991" width="13.5703125" style="3" customWidth="1"/>
    <col min="9992" max="9992" width="12.7109375" style="3" customWidth="1"/>
    <col min="9993" max="10240" width="9.140625" style="3"/>
    <col min="10241" max="10241" width="7.140625" style="3" customWidth="1"/>
    <col min="10242" max="10242" width="59.140625" style="3" customWidth="1"/>
    <col min="10243" max="10243" width="9.7109375" style="3" customWidth="1"/>
    <col min="10244" max="10244" width="12.85546875" style="3" customWidth="1"/>
    <col min="10245" max="10245" width="12.42578125" style="3" customWidth="1"/>
    <col min="10246" max="10246" width="14.85546875" style="3" customWidth="1"/>
    <col min="10247" max="10247" width="13.5703125" style="3" customWidth="1"/>
    <col min="10248" max="10248" width="12.7109375" style="3" customWidth="1"/>
    <col min="10249" max="10496" width="9.140625" style="3"/>
    <col min="10497" max="10497" width="7.140625" style="3" customWidth="1"/>
    <col min="10498" max="10498" width="59.140625" style="3" customWidth="1"/>
    <col min="10499" max="10499" width="9.7109375" style="3" customWidth="1"/>
    <col min="10500" max="10500" width="12.85546875" style="3" customWidth="1"/>
    <col min="10501" max="10501" width="12.42578125" style="3" customWidth="1"/>
    <col min="10502" max="10502" width="14.85546875" style="3" customWidth="1"/>
    <col min="10503" max="10503" width="13.5703125" style="3" customWidth="1"/>
    <col min="10504" max="10504" width="12.7109375" style="3" customWidth="1"/>
    <col min="10505" max="10752" width="9.140625" style="3"/>
    <col min="10753" max="10753" width="7.140625" style="3" customWidth="1"/>
    <col min="10754" max="10754" width="59.140625" style="3" customWidth="1"/>
    <col min="10755" max="10755" width="9.7109375" style="3" customWidth="1"/>
    <col min="10756" max="10756" width="12.85546875" style="3" customWidth="1"/>
    <col min="10757" max="10757" width="12.42578125" style="3" customWidth="1"/>
    <col min="10758" max="10758" width="14.85546875" style="3" customWidth="1"/>
    <col min="10759" max="10759" width="13.5703125" style="3" customWidth="1"/>
    <col min="10760" max="10760" width="12.7109375" style="3" customWidth="1"/>
    <col min="10761" max="11008" width="9.140625" style="3"/>
    <col min="11009" max="11009" width="7.140625" style="3" customWidth="1"/>
    <col min="11010" max="11010" width="59.140625" style="3" customWidth="1"/>
    <col min="11011" max="11011" width="9.7109375" style="3" customWidth="1"/>
    <col min="11012" max="11012" width="12.85546875" style="3" customWidth="1"/>
    <col min="11013" max="11013" width="12.42578125" style="3" customWidth="1"/>
    <col min="11014" max="11014" width="14.85546875" style="3" customWidth="1"/>
    <col min="11015" max="11015" width="13.5703125" style="3" customWidth="1"/>
    <col min="11016" max="11016" width="12.7109375" style="3" customWidth="1"/>
    <col min="11017" max="11264" width="9.140625" style="3"/>
    <col min="11265" max="11265" width="7.140625" style="3" customWidth="1"/>
    <col min="11266" max="11266" width="59.140625" style="3" customWidth="1"/>
    <col min="11267" max="11267" width="9.7109375" style="3" customWidth="1"/>
    <col min="11268" max="11268" width="12.85546875" style="3" customWidth="1"/>
    <col min="11269" max="11269" width="12.42578125" style="3" customWidth="1"/>
    <col min="11270" max="11270" width="14.85546875" style="3" customWidth="1"/>
    <col min="11271" max="11271" width="13.5703125" style="3" customWidth="1"/>
    <col min="11272" max="11272" width="12.7109375" style="3" customWidth="1"/>
    <col min="11273" max="11520" width="9.140625" style="3"/>
    <col min="11521" max="11521" width="7.140625" style="3" customWidth="1"/>
    <col min="11522" max="11522" width="59.140625" style="3" customWidth="1"/>
    <col min="11523" max="11523" width="9.7109375" style="3" customWidth="1"/>
    <col min="11524" max="11524" width="12.85546875" style="3" customWidth="1"/>
    <col min="11525" max="11525" width="12.42578125" style="3" customWidth="1"/>
    <col min="11526" max="11526" width="14.85546875" style="3" customWidth="1"/>
    <col min="11527" max="11527" width="13.5703125" style="3" customWidth="1"/>
    <col min="11528" max="11528" width="12.7109375" style="3" customWidth="1"/>
    <col min="11529" max="11776" width="9.140625" style="3"/>
    <col min="11777" max="11777" width="7.140625" style="3" customWidth="1"/>
    <col min="11778" max="11778" width="59.140625" style="3" customWidth="1"/>
    <col min="11779" max="11779" width="9.7109375" style="3" customWidth="1"/>
    <col min="11780" max="11780" width="12.85546875" style="3" customWidth="1"/>
    <col min="11781" max="11781" width="12.42578125" style="3" customWidth="1"/>
    <col min="11782" max="11782" width="14.85546875" style="3" customWidth="1"/>
    <col min="11783" max="11783" width="13.5703125" style="3" customWidth="1"/>
    <col min="11784" max="11784" width="12.7109375" style="3" customWidth="1"/>
    <col min="11785" max="12032" width="9.140625" style="3"/>
    <col min="12033" max="12033" width="7.140625" style="3" customWidth="1"/>
    <col min="12034" max="12034" width="59.140625" style="3" customWidth="1"/>
    <col min="12035" max="12035" width="9.7109375" style="3" customWidth="1"/>
    <col min="12036" max="12036" width="12.85546875" style="3" customWidth="1"/>
    <col min="12037" max="12037" width="12.42578125" style="3" customWidth="1"/>
    <col min="12038" max="12038" width="14.85546875" style="3" customWidth="1"/>
    <col min="12039" max="12039" width="13.5703125" style="3" customWidth="1"/>
    <col min="12040" max="12040" width="12.7109375" style="3" customWidth="1"/>
    <col min="12041" max="12288" width="9.140625" style="3"/>
    <col min="12289" max="12289" width="7.140625" style="3" customWidth="1"/>
    <col min="12290" max="12290" width="59.140625" style="3" customWidth="1"/>
    <col min="12291" max="12291" width="9.7109375" style="3" customWidth="1"/>
    <col min="12292" max="12292" width="12.85546875" style="3" customWidth="1"/>
    <col min="12293" max="12293" width="12.42578125" style="3" customWidth="1"/>
    <col min="12294" max="12294" width="14.85546875" style="3" customWidth="1"/>
    <col min="12295" max="12295" width="13.5703125" style="3" customWidth="1"/>
    <col min="12296" max="12296" width="12.7109375" style="3" customWidth="1"/>
    <col min="12297" max="12544" width="9.140625" style="3"/>
    <col min="12545" max="12545" width="7.140625" style="3" customWidth="1"/>
    <col min="12546" max="12546" width="59.140625" style="3" customWidth="1"/>
    <col min="12547" max="12547" width="9.7109375" style="3" customWidth="1"/>
    <col min="12548" max="12548" width="12.85546875" style="3" customWidth="1"/>
    <col min="12549" max="12549" width="12.42578125" style="3" customWidth="1"/>
    <col min="12550" max="12550" width="14.85546875" style="3" customWidth="1"/>
    <col min="12551" max="12551" width="13.5703125" style="3" customWidth="1"/>
    <col min="12552" max="12552" width="12.7109375" style="3" customWidth="1"/>
    <col min="12553" max="12800" width="9.140625" style="3"/>
    <col min="12801" max="12801" width="7.140625" style="3" customWidth="1"/>
    <col min="12802" max="12802" width="59.140625" style="3" customWidth="1"/>
    <col min="12803" max="12803" width="9.7109375" style="3" customWidth="1"/>
    <col min="12804" max="12804" width="12.85546875" style="3" customWidth="1"/>
    <col min="12805" max="12805" width="12.42578125" style="3" customWidth="1"/>
    <col min="12806" max="12806" width="14.85546875" style="3" customWidth="1"/>
    <col min="12807" max="12807" width="13.5703125" style="3" customWidth="1"/>
    <col min="12808" max="12808" width="12.7109375" style="3" customWidth="1"/>
    <col min="12809" max="13056" width="9.140625" style="3"/>
    <col min="13057" max="13057" width="7.140625" style="3" customWidth="1"/>
    <col min="13058" max="13058" width="59.140625" style="3" customWidth="1"/>
    <col min="13059" max="13059" width="9.7109375" style="3" customWidth="1"/>
    <col min="13060" max="13060" width="12.85546875" style="3" customWidth="1"/>
    <col min="13061" max="13061" width="12.42578125" style="3" customWidth="1"/>
    <col min="13062" max="13062" width="14.85546875" style="3" customWidth="1"/>
    <col min="13063" max="13063" width="13.5703125" style="3" customWidth="1"/>
    <col min="13064" max="13064" width="12.7109375" style="3" customWidth="1"/>
    <col min="13065" max="13312" width="9.140625" style="3"/>
    <col min="13313" max="13313" width="7.140625" style="3" customWidth="1"/>
    <col min="13314" max="13314" width="59.140625" style="3" customWidth="1"/>
    <col min="13315" max="13315" width="9.7109375" style="3" customWidth="1"/>
    <col min="13316" max="13316" width="12.85546875" style="3" customWidth="1"/>
    <col min="13317" max="13317" width="12.42578125" style="3" customWidth="1"/>
    <col min="13318" max="13318" width="14.85546875" style="3" customWidth="1"/>
    <col min="13319" max="13319" width="13.5703125" style="3" customWidth="1"/>
    <col min="13320" max="13320" width="12.7109375" style="3" customWidth="1"/>
    <col min="13321" max="13568" width="9.140625" style="3"/>
    <col min="13569" max="13569" width="7.140625" style="3" customWidth="1"/>
    <col min="13570" max="13570" width="59.140625" style="3" customWidth="1"/>
    <col min="13571" max="13571" width="9.7109375" style="3" customWidth="1"/>
    <col min="13572" max="13572" width="12.85546875" style="3" customWidth="1"/>
    <col min="13573" max="13573" width="12.42578125" style="3" customWidth="1"/>
    <col min="13574" max="13574" width="14.85546875" style="3" customWidth="1"/>
    <col min="13575" max="13575" width="13.5703125" style="3" customWidth="1"/>
    <col min="13576" max="13576" width="12.7109375" style="3" customWidth="1"/>
    <col min="13577" max="13824" width="9.140625" style="3"/>
    <col min="13825" max="13825" width="7.140625" style="3" customWidth="1"/>
    <col min="13826" max="13826" width="59.140625" style="3" customWidth="1"/>
    <col min="13827" max="13827" width="9.7109375" style="3" customWidth="1"/>
    <col min="13828" max="13828" width="12.85546875" style="3" customWidth="1"/>
    <col min="13829" max="13829" width="12.42578125" style="3" customWidth="1"/>
    <col min="13830" max="13830" width="14.85546875" style="3" customWidth="1"/>
    <col min="13831" max="13831" width="13.5703125" style="3" customWidth="1"/>
    <col min="13832" max="13832" width="12.7109375" style="3" customWidth="1"/>
    <col min="13833" max="14080" width="9.140625" style="3"/>
    <col min="14081" max="14081" width="7.140625" style="3" customWidth="1"/>
    <col min="14082" max="14082" width="59.140625" style="3" customWidth="1"/>
    <col min="14083" max="14083" width="9.7109375" style="3" customWidth="1"/>
    <col min="14084" max="14084" width="12.85546875" style="3" customWidth="1"/>
    <col min="14085" max="14085" width="12.42578125" style="3" customWidth="1"/>
    <col min="14086" max="14086" width="14.85546875" style="3" customWidth="1"/>
    <col min="14087" max="14087" width="13.5703125" style="3" customWidth="1"/>
    <col min="14088" max="14088" width="12.7109375" style="3" customWidth="1"/>
    <col min="14089" max="14336" width="9.140625" style="3"/>
    <col min="14337" max="14337" width="7.140625" style="3" customWidth="1"/>
    <col min="14338" max="14338" width="59.140625" style="3" customWidth="1"/>
    <col min="14339" max="14339" width="9.7109375" style="3" customWidth="1"/>
    <col min="14340" max="14340" width="12.85546875" style="3" customWidth="1"/>
    <col min="14341" max="14341" width="12.42578125" style="3" customWidth="1"/>
    <col min="14342" max="14342" width="14.85546875" style="3" customWidth="1"/>
    <col min="14343" max="14343" width="13.5703125" style="3" customWidth="1"/>
    <col min="14344" max="14344" width="12.7109375" style="3" customWidth="1"/>
    <col min="14345" max="14592" width="9.140625" style="3"/>
    <col min="14593" max="14593" width="7.140625" style="3" customWidth="1"/>
    <col min="14594" max="14594" width="59.140625" style="3" customWidth="1"/>
    <col min="14595" max="14595" width="9.7109375" style="3" customWidth="1"/>
    <col min="14596" max="14596" width="12.85546875" style="3" customWidth="1"/>
    <col min="14597" max="14597" width="12.42578125" style="3" customWidth="1"/>
    <col min="14598" max="14598" width="14.85546875" style="3" customWidth="1"/>
    <col min="14599" max="14599" width="13.5703125" style="3" customWidth="1"/>
    <col min="14600" max="14600" width="12.7109375" style="3" customWidth="1"/>
    <col min="14601" max="14848" width="9.140625" style="3"/>
    <col min="14849" max="14849" width="7.140625" style="3" customWidth="1"/>
    <col min="14850" max="14850" width="59.140625" style="3" customWidth="1"/>
    <col min="14851" max="14851" width="9.7109375" style="3" customWidth="1"/>
    <col min="14852" max="14852" width="12.85546875" style="3" customWidth="1"/>
    <col min="14853" max="14853" width="12.42578125" style="3" customWidth="1"/>
    <col min="14854" max="14854" width="14.85546875" style="3" customWidth="1"/>
    <col min="14855" max="14855" width="13.5703125" style="3" customWidth="1"/>
    <col min="14856" max="14856" width="12.7109375" style="3" customWidth="1"/>
    <col min="14857" max="15104" width="9.140625" style="3"/>
    <col min="15105" max="15105" width="7.140625" style="3" customWidth="1"/>
    <col min="15106" max="15106" width="59.140625" style="3" customWidth="1"/>
    <col min="15107" max="15107" width="9.7109375" style="3" customWidth="1"/>
    <col min="15108" max="15108" width="12.85546875" style="3" customWidth="1"/>
    <col min="15109" max="15109" width="12.42578125" style="3" customWidth="1"/>
    <col min="15110" max="15110" width="14.85546875" style="3" customWidth="1"/>
    <col min="15111" max="15111" width="13.5703125" style="3" customWidth="1"/>
    <col min="15112" max="15112" width="12.7109375" style="3" customWidth="1"/>
    <col min="15113" max="15360" width="9.140625" style="3"/>
    <col min="15361" max="15361" width="7.140625" style="3" customWidth="1"/>
    <col min="15362" max="15362" width="59.140625" style="3" customWidth="1"/>
    <col min="15363" max="15363" width="9.7109375" style="3" customWidth="1"/>
    <col min="15364" max="15364" width="12.85546875" style="3" customWidth="1"/>
    <col min="15365" max="15365" width="12.42578125" style="3" customWidth="1"/>
    <col min="15366" max="15366" width="14.85546875" style="3" customWidth="1"/>
    <col min="15367" max="15367" width="13.5703125" style="3" customWidth="1"/>
    <col min="15368" max="15368" width="12.7109375" style="3" customWidth="1"/>
    <col min="15369" max="15616" width="9.140625" style="3"/>
    <col min="15617" max="15617" width="7.140625" style="3" customWidth="1"/>
    <col min="15618" max="15618" width="59.140625" style="3" customWidth="1"/>
    <col min="15619" max="15619" width="9.7109375" style="3" customWidth="1"/>
    <col min="15620" max="15620" width="12.85546875" style="3" customWidth="1"/>
    <col min="15621" max="15621" width="12.42578125" style="3" customWidth="1"/>
    <col min="15622" max="15622" width="14.85546875" style="3" customWidth="1"/>
    <col min="15623" max="15623" width="13.5703125" style="3" customWidth="1"/>
    <col min="15624" max="15624" width="12.7109375" style="3" customWidth="1"/>
    <col min="15625" max="15872" width="9.140625" style="3"/>
    <col min="15873" max="15873" width="7.140625" style="3" customWidth="1"/>
    <col min="15874" max="15874" width="59.140625" style="3" customWidth="1"/>
    <col min="15875" max="15875" width="9.7109375" style="3" customWidth="1"/>
    <col min="15876" max="15876" width="12.85546875" style="3" customWidth="1"/>
    <col min="15877" max="15877" width="12.42578125" style="3" customWidth="1"/>
    <col min="15878" max="15878" width="14.85546875" style="3" customWidth="1"/>
    <col min="15879" max="15879" width="13.5703125" style="3" customWidth="1"/>
    <col min="15880" max="15880" width="12.7109375" style="3" customWidth="1"/>
    <col min="15881" max="16128" width="9.140625" style="3"/>
    <col min="16129" max="16129" width="7.140625" style="3" customWidth="1"/>
    <col min="16130" max="16130" width="59.140625" style="3" customWidth="1"/>
    <col min="16131" max="16131" width="9.7109375" style="3" customWidth="1"/>
    <col min="16132" max="16132" width="12.85546875" style="3" customWidth="1"/>
    <col min="16133" max="16133" width="12.42578125" style="3" customWidth="1"/>
    <col min="16134" max="16134" width="14.85546875" style="3" customWidth="1"/>
    <col min="16135" max="16135" width="13.5703125" style="3" customWidth="1"/>
    <col min="16136" max="16136" width="12.7109375" style="3" customWidth="1"/>
    <col min="16137" max="16384" width="9.140625" style="3"/>
  </cols>
  <sheetData>
    <row r="1" spans="1:11" ht="20.25" customHeight="1" x14ac:dyDescent="0.25">
      <c r="A1" s="114"/>
      <c r="E1" s="86" t="s">
        <v>0</v>
      </c>
      <c r="F1" s="10"/>
      <c r="G1" s="10"/>
      <c r="H1" s="10"/>
      <c r="I1" s="10"/>
    </row>
    <row r="2" spans="1:11" ht="15" customHeight="1" x14ac:dyDescent="0.25">
      <c r="E2" s="10" t="s">
        <v>1</v>
      </c>
      <c r="F2" s="10"/>
      <c r="G2" s="10"/>
      <c r="H2" s="10"/>
      <c r="I2" s="10"/>
    </row>
    <row r="3" spans="1:11" ht="49.5" customHeight="1" x14ac:dyDescent="0.25">
      <c r="E3" s="714" t="s">
        <v>86</v>
      </c>
      <c r="F3" s="714"/>
      <c r="G3" s="714"/>
      <c r="H3" s="87"/>
      <c r="I3" s="87"/>
    </row>
    <row r="4" spans="1:11" ht="21" customHeight="1" x14ac:dyDescent="0.25">
      <c r="E4" s="10" t="s">
        <v>87</v>
      </c>
      <c r="F4" s="10"/>
      <c r="G4" s="10"/>
      <c r="H4" s="10"/>
      <c r="I4" s="10"/>
    </row>
    <row r="5" spans="1:11" ht="20.25" customHeight="1" x14ac:dyDescent="0.25">
      <c r="E5" s="10" t="s">
        <v>4</v>
      </c>
      <c r="F5" s="10"/>
      <c r="G5" s="10"/>
      <c r="H5" s="10"/>
      <c r="I5" s="10"/>
    </row>
    <row r="6" spans="1:11" ht="6.75" customHeight="1" x14ac:dyDescent="0.25">
      <c r="C6" s="115"/>
    </row>
    <row r="7" spans="1:11" s="7" customFormat="1" ht="20.25" customHeight="1" x14ac:dyDescent="0.25">
      <c r="A7" s="730" t="s">
        <v>5</v>
      </c>
      <c r="B7" s="730"/>
      <c r="C7" s="730"/>
      <c r="D7" s="730"/>
      <c r="E7" s="730"/>
      <c r="F7" s="730"/>
      <c r="G7" s="730"/>
      <c r="H7" s="730"/>
    </row>
    <row r="8" spans="1:11" ht="24.75" customHeight="1" x14ac:dyDescent="0.25">
      <c r="A8" s="731" t="s">
        <v>6</v>
      </c>
      <c r="B8" s="731"/>
      <c r="C8" s="731"/>
      <c r="D8" s="731"/>
      <c r="E8" s="731"/>
      <c r="F8" s="731"/>
      <c r="G8" s="731"/>
      <c r="H8" s="731"/>
    </row>
    <row r="9" spans="1:11" ht="18" customHeight="1" x14ac:dyDescent="0.25">
      <c r="A9" s="731" t="s">
        <v>7</v>
      </c>
      <c r="B9" s="731"/>
      <c r="C9" s="731"/>
      <c r="D9" s="731"/>
      <c r="E9" s="731"/>
      <c r="F9" s="731"/>
      <c r="G9" s="731"/>
      <c r="H9" s="731"/>
    </row>
    <row r="10" spans="1:11" ht="20.25" customHeight="1" x14ac:dyDescent="0.25">
      <c r="A10" s="731" t="s">
        <v>8</v>
      </c>
      <c r="B10" s="731"/>
      <c r="C10" s="731"/>
      <c r="D10" s="731"/>
      <c r="E10" s="731"/>
      <c r="F10" s="731"/>
      <c r="G10" s="731"/>
      <c r="H10" s="731"/>
    </row>
    <row r="11" spans="1:11" ht="20.25" customHeight="1" thickBot="1" x14ac:dyDescent="0.3">
      <c r="A11" s="116"/>
      <c r="B11" s="116"/>
      <c r="C11" s="116"/>
      <c r="F11" s="9" t="s">
        <v>9</v>
      </c>
      <c r="G11" s="9"/>
      <c r="H11" s="10"/>
    </row>
    <row r="12" spans="1:11" ht="69.75" customHeight="1" x14ac:dyDescent="0.25">
      <c r="A12" s="732" t="s">
        <v>10</v>
      </c>
      <c r="B12" s="734" t="s">
        <v>11</v>
      </c>
      <c r="C12" s="736" t="s">
        <v>12</v>
      </c>
      <c r="D12" s="725" t="s">
        <v>13</v>
      </c>
      <c r="E12" s="726"/>
      <c r="F12" s="738" t="s">
        <v>14</v>
      </c>
      <c r="G12" s="725" t="s">
        <v>15</v>
      </c>
      <c r="H12" s="726"/>
      <c r="I12" s="694" t="s">
        <v>16</v>
      </c>
      <c r="J12" s="695"/>
      <c r="K12" s="695"/>
    </row>
    <row r="13" spans="1:11" s="17" customFormat="1" ht="90" customHeight="1" thickBot="1" x14ac:dyDescent="0.3">
      <c r="A13" s="733"/>
      <c r="B13" s="735"/>
      <c r="C13" s="737"/>
      <c r="D13" s="117" t="s">
        <v>17</v>
      </c>
      <c r="E13" s="118" t="s">
        <v>18</v>
      </c>
      <c r="F13" s="739"/>
      <c r="G13" s="117" t="s">
        <v>17</v>
      </c>
      <c r="H13" s="118" t="s">
        <v>18</v>
      </c>
      <c r="I13" s="13">
        <v>10</v>
      </c>
      <c r="J13" s="14">
        <v>20</v>
      </c>
      <c r="K13" s="14" t="s">
        <v>88</v>
      </c>
    </row>
    <row r="14" spans="1:11" s="20" customFormat="1" ht="22.5" customHeight="1" thickBot="1" x14ac:dyDescent="0.3">
      <c r="A14" s="727" t="s">
        <v>89</v>
      </c>
      <c r="B14" s="728"/>
      <c r="C14" s="728"/>
      <c r="D14" s="728"/>
      <c r="E14" s="728"/>
      <c r="F14" s="728"/>
      <c r="G14" s="728"/>
      <c r="H14" s="729"/>
      <c r="I14" s="18"/>
      <c r="J14" s="19"/>
      <c r="K14" s="19"/>
    </row>
    <row r="15" spans="1:11" s="20" customFormat="1" ht="20.25" customHeight="1" x14ac:dyDescent="0.25">
      <c r="A15" s="119" t="s">
        <v>90</v>
      </c>
      <c r="B15" s="120" t="s">
        <v>91</v>
      </c>
      <c r="C15" s="121"/>
      <c r="D15" s="122"/>
      <c r="E15" s="123"/>
      <c r="F15" s="124"/>
      <c r="G15" s="125"/>
      <c r="H15" s="123"/>
      <c r="I15" s="18"/>
      <c r="J15" s="19"/>
      <c r="K15" s="19"/>
    </row>
    <row r="16" spans="1:11" ht="15.75" x14ac:dyDescent="0.25">
      <c r="A16" s="126" t="s">
        <v>23</v>
      </c>
      <c r="B16" s="127" t="str">
        <f>'[4]1 Электрофорез'!A13</f>
        <v>Электрофорез постоянным, импульсным токами</v>
      </c>
      <c r="C16" s="128" t="s">
        <v>24</v>
      </c>
      <c r="D16" s="129">
        <f>'[4]Уровень цен'!D10</f>
        <v>4.49</v>
      </c>
      <c r="E16" s="130" t="s">
        <v>25</v>
      </c>
      <c r="F16" s="131"/>
      <c r="G16" s="132">
        <f>'[4]Уровень цен'!E10</f>
        <v>6.39</v>
      </c>
      <c r="H16" s="133" t="s">
        <v>25</v>
      </c>
      <c r="I16" s="134"/>
      <c r="J16" s="135"/>
      <c r="K16" s="135"/>
    </row>
    <row r="17" spans="1:13" ht="15.75" x14ac:dyDescent="0.25">
      <c r="A17" s="136"/>
      <c r="B17" s="137" t="str">
        <f>'[4]1 Электрофорез'!J24</f>
        <v>Йодистый калий 2%</v>
      </c>
      <c r="C17" s="138"/>
      <c r="D17" s="139"/>
      <c r="E17" s="140"/>
      <c r="F17" s="141">
        <f>'[4]1 Электрофорез'!P33</f>
        <v>0.27</v>
      </c>
      <c r="G17" s="142"/>
      <c r="H17" s="143"/>
      <c r="I17" s="64">
        <f>0.03*$I$13/110</f>
        <v>2.7272727272727271E-3</v>
      </c>
      <c r="J17" s="65">
        <f>0.18*J13/120</f>
        <v>2.9999999999999995E-2</v>
      </c>
      <c r="K17" s="65">
        <f>I17+J17</f>
        <v>3.2727272727272723E-2</v>
      </c>
    </row>
    <row r="18" spans="1:13" ht="15.75" x14ac:dyDescent="0.25">
      <c r="A18" s="136"/>
      <c r="B18" s="137" t="str">
        <f>'[4]1 Электрофорез'!J25</f>
        <v>Сульфат магния 2%</v>
      </c>
      <c r="C18" s="138"/>
      <c r="D18" s="139"/>
      <c r="E18" s="140"/>
      <c r="F18" s="141">
        <f>'[4]1 Электрофорез'!P34</f>
        <v>0.2</v>
      </c>
      <c r="G18" s="142"/>
      <c r="H18" s="143"/>
      <c r="I18" s="64">
        <f>0.03*$I$13/110</f>
        <v>2.7272727272727271E-3</v>
      </c>
      <c r="J18" s="65">
        <f>0.11*$J$13/120</f>
        <v>1.8333333333333333E-2</v>
      </c>
      <c r="K18" s="65">
        <f>I18+J18</f>
        <v>2.1060606060606061E-2</v>
      </c>
    </row>
    <row r="19" spans="1:13" ht="15.75" x14ac:dyDescent="0.25">
      <c r="A19" s="136"/>
      <c r="B19" s="137" t="str">
        <f>'[4]1 Электрофорез'!J26</f>
        <v>Натрия бромид 2%</v>
      </c>
      <c r="C19" s="138"/>
      <c r="D19" s="139"/>
      <c r="E19" s="140"/>
      <c r="F19" s="141">
        <f>'[4]1 Электрофорез'!P35</f>
        <v>0.28999999999999998</v>
      </c>
      <c r="G19" s="142"/>
      <c r="H19" s="143"/>
      <c r="I19" s="64">
        <f>0.03*$I$13/110</f>
        <v>2.7272727272727271E-3</v>
      </c>
      <c r="J19" s="65">
        <f>0.2*$J$13/120</f>
        <v>3.3333333333333333E-2</v>
      </c>
      <c r="K19" s="65">
        <f>I19+J19</f>
        <v>3.6060606060606057E-2</v>
      </c>
    </row>
    <row r="20" spans="1:13" ht="15.75" hidden="1" x14ac:dyDescent="0.25">
      <c r="A20" s="136"/>
      <c r="B20" s="137" t="str">
        <f>'[4]1 Электрофорез'!L36</f>
        <v>Раствор Димексида</v>
      </c>
      <c r="C20" s="138"/>
      <c r="D20" s="139"/>
      <c r="E20" s="140"/>
      <c r="F20" s="141">
        <f>'[4]1 Электрофорез'!P36</f>
        <v>0.28000000000000003</v>
      </c>
      <c r="G20" s="142"/>
      <c r="H20" s="143"/>
      <c r="I20" s="64">
        <f>0.03*$I$13/110</f>
        <v>2.7272727272727271E-3</v>
      </c>
      <c r="J20" s="65">
        <f>0.19*J13/120</f>
        <v>3.1666666666666662E-2</v>
      </c>
      <c r="K20" s="65">
        <f>I20+J20</f>
        <v>3.4393939393939386E-2</v>
      </c>
      <c r="L20" s="10"/>
      <c r="M20" s="10"/>
    </row>
    <row r="21" spans="1:13" ht="15.75" x14ac:dyDescent="0.25">
      <c r="A21" s="144">
        <v>42767</v>
      </c>
      <c r="B21" s="145" t="str">
        <f>'[4]37 Гальван.ванны'!A13</f>
        <v>Гидрогальванические камерные ванны</v>
      </c>
      <c r="C21" s="128" t="s">
        <v>24</v>
      </c>
      <c r="D21" s="139">
        <f>'[4]37 Гальван.ванны'!G29</f>
        <v>6.58</v>
      </c>
      <c r="E21" s="140" t="s">
        <v>25</v>
      </c>
      <c r="F21" s="141"/>
      <c r="G21" s="142">
        <f>'[4]37р'!G29</f>
        <v>8.5500000000000007</v>
      </c>
      <c r="H21" s="143" t="s">
        <v>25</v>
      </c>
      <c r="I21" s="64"/>
      <c r="J21" s="65"/>
      <c r="K21" s="65"/>
    </row>
    <row r="22" spans="1:13" ht="15.75" x14ac:dyDescent="0.25">
      <c r="A22" s="144"/>
      <c r="B22" s="137" t="str">
        <f>'[4]37 Гальван.ванны'!J25</f>
        <v>Сульфат магния 2%</v>
      </c>
      <c r="C22" s="138"/>
      <c r="D22" s="139"/>
      <c r="E22" s="140"/>
      <c r="F22" s="141">
        <f>'[4]37 Гальван.ванны'!P21</f>
        <v>3.61</v>
      </c>
      <c r="G22" s="142"/>
      <c r="H22" s="143"/>
      <c r="I22" s="64">
        <f>0*I13/110</f>
        <v>0</v>
      </c>
      <c r="J22" s="65">
        <f>3.61*J13/120</f>
        <v>0.60166666666666668</v>
      </c>
      <c r="K22" s="65">
        <f>I22+J22</f>
        <v>0.60166666666666668</v>
      </c>
      <c r="L22" s="10"/>
    </row>
    <row r="23" spans="1:13" ht="16.5" customHeight="1" x14ac:dyDescent="0.25">
      <c r="A23" s="146" t="s">
        <v>27</v>
      </c>
      <c r="B23" s="127" t="str">
        <f>'[4]2 Электросон'!A13</f>
        <v>Электросон</v>
      </c>
      <c r="C23" s="128" t="str">
        <f t="shared" ref="C23:C35" si="0">$C$16</f>
        <v>процедура</v>
      </c>
      <c r="D23" s="129">
        <f>'[4]Уровень цен'!D12</f>
        <v>8.27</v>
      </c>
      <c r="E23" s="130" t="s">
        <v>25</v>
      </c>
      <c r="F23" s="147">
        <f>'[4]2 Электросон'!P30</f>
        <v>0.09</v>
      </c>
      <c r="G23" s="132">
        <f>'[4]Уровень цен'!E12</f>
        <v>11.53</v>
      </c>
      <c r="H23" s="133" t="s">
        <v>25</v>
      </c>
      <c r="I23" s="64">
        <f>0.03*$I$13/110</f>
        <v>2.7272727272727271E-3</v>
      </c>
      <c r="J23" s="65"/>
      <c r="K23" s="65">
        <f t="shared" ref="K23:K35" si="1">I23+J23</f>
        <v>2.7272727272727271E-3</v>
      </c>
      <c r="L23" s="10"/>
    </row>
    <row r="24" spans="1:13" ht="15.75" x14ac:dyDescent="0.25">
      <c r="A24" s="126" t="s">
        <v>28</v>
      </c>
      <c r="B24" s="127" t="str">
        <f>'[4]3 Диадинамотерапия'!A13</f>
        <v xml:space="preserve">Диадинамотерапия  </v>
      </c>
      <c r="C24" s="128" t="str">
        <f t="shared" si="0"/>
        <v>процедура</v>
      </c>
      <c r="D24" s="129">
        <f>'[4]Уровень цен'!D14</f>
        <v>5.91</v>
      </c>
      <c r="E24" s="130" t="s">
        <v>25</v>
      </c>
      <c r="F24" s="147">
        <f>'[4]3 Диадинамотерапия'!P30</f>
        <v>0.09</v>
      </c>
      <c r="G24" s="132">
        <f>'[4]Уровень цен'!E13</f>
        <v>8.67</v>
      </c>
      <c r="H24" s="133" t="s">
        <v>25</v>
      </c>
      <c r="I24" s="64">
        <f>0.03*$I$13/110</f>
        <v>2.7272727272727271E-3</v>
      </c>
      <c r="J24" s="65"/>
      <c r="K24" s="65">
        <f t="shared" si="1"/>
        <v>2.7272727272727271E-3</v>
      </c>
      <c r="L24" s="10"/>
    </row>
    <row r="25" spans="1:13" ht="15.75" x14ac:dyDescent="0.25">
      <c r="A25" s="146" t="s">
        <v>29</v>
      </c>
      <c r="B25" s="127" t="str">
        <f>'[4]4 Амплипульстерапия'!A13</f>
        <v xml:space="preserve">Амплипульстерапия  </v>
      </c>
      <c r="C25" s="128" t="str">
        <f t="shared" si="0"/>
        <v>процедура</v>
      </c>
      <c r="D25" s="129">
        <f>'[4]Уровень цен'!D15</f>
        <v>5.91</v>
      </c>
      <c r="E25" s="130" t="s">
        <v>25</v>
      </c>
      <c r="F25" s="147">
        <f>'[4]4 Амплипульстерапия'!P30</f>
        <v>0.09</v>
      </c>
      <c r="G25" s="132">
        <f>'[4]Уровень цен'!E14</f>
        <v>8.67</v>
      </c>
      <c r="H25" s="133" t="s">
        <v>25</v>
      </c>
      <c r="I25" s="64">
        <f>0.03*$I$13/110</f>
        <v>2.7272727272727271E-3</v>
      </c>
      <c r="J25" s="65"/>
      <c r="K25" s="65">
        <f t="shared" si="1"/>
        <v>2.7272727272727271E-3</v>
      </c>
      <c r="L25" s="10"/>
    </row>
    <row r="26" spans="1:13" ht="15.75" x14ac:dyDescent="0.25">
      <c r="A26" s="126" t="s">
        <v>30</v>
      </c>
      <c r="B26" s="127" t="str">
        <f>'[4]5 Интерференцтерапия'!A13</f>
        <v xml:space="preserve">Интерференцтерапия  </v>
      </c>
      <c r="C26" s="128" t="str">
        <f t="shared" si="0"/>
        <v>процедура</v>
      </c>
      <c r="D26" s="129">
        <f>'[4]Уровень цен'!D15</f>
        <v>5.91</v>
      </c>
      <c r="E26" s="130" t="s">
        <v>25</v>
      </c>
      <c r="F26" s="147">
        <f>'[4]5 Интерференцтерапия'!P30</f>
        <v>0.09</v>
      </c>
      <c r="G26" s="132">
        <f>'[4]Уровень цен'!E15</f>
        <v>8.67</v>
      </c>
      <c r="H26" s="133" t="s">
        <v>25</v>
      </c>
      <c r="I26" s="64">
        <f>0.03*$I$13/110</f>
        <v>2.7272727272727271E-3</v>
      </c>
      <c r="J26" s="65"/>
      <c r="K26" s="65">
        <f t="shared" si="1"/>
        <v>2.7272727272727271E-3</v>
      </c>
      <c r="L26" s="10"/>
    </row>
    <row r="27" spans="1:13" ht="15.75" x14ac:dyDescent="0.25">
      <c r="A27" s="146" t="s">
        <v>31</v>
      </c>
      <c r="B27" s="127" t="str">
        <f>'[4]6 Электроаналгезия'!A13</f>
        <v xml:space="preserve">Короткоимпульсная электроаналгезия </v>
      </c>
      <c r="C27" s="128" t="str">
        <f t="shared" si="0"/>
        <v>процедура</v>
      </c>
      <c r="D27" s="129">
        <f>'[4]Уровень цен'!D16</f>
        <v>5.91</v>
      </c>
      <c r="E27" s="130" t="s">
        <v>25</v>
      </c>
      <c r="F27" s="147">
        <f>'[4]6 Электроаналгезия'!P30</f>
        <v>0.09</v>
      </c>
      <c r="G27" s="132">
        <f>'[4]Уровень цен'!E16</f>
        <v>8.67</v>
      </c>
      <c r="H27" s="133" t="s">
        <v>25</v>
      </c>
      <c r="I27" s="64">
        <f>0.03*$I$13/110</f>
        <v>2.7272727272727271E-3</v>
      </c>
      <c r="J27" s="65"/>
      <c r="K27" s="65">
        <f t="shared" si="1"/>
        <v>2.7272727272727271E-3</v>
      </c>
      <c r="L27" s="10"/>
    </row>
    <row r="28" spans="1:13" ht="15.75" x14ac:dyDescent="0.25">
      <c r="A28" s="126" t="s">
        <v>32</v>
      </c>
      <c r="B28" s="127" t="str">
        <f>'[4]7 Дарсонваль'!A13</f>
        <v xml:space="preserve">Дарсонвализация местная </v>
      </c>
      <c r="C28" s="128" t="str">
        <f t="shared" si="0"/>
        <v>процедура</v>
      </c>
      <c r="D28" s="129">
        <f>'[4]Уровень цен'!D17</f>
        <v>5.91</v>
      </c>
      <c r="E28" s="130" t="s">
        <v>25</v>
      </c>
      <c r="F28" s="147">
        <f>'[4]7 Дарсонваль'!P30</f>
        <v>0.12</v>
      </c>
      <c r="G28" s="132">
        <f>'[4]Уровень цен'!E17</f>
        <v>8.6</v>
      </c>
      <c r="H28" s="133" t="s">
        <v>25</v>
      </c>
      <c r="I28" s="64">
        <f>0.06*$I$13/110</f>
        <v>5.4545454545454541E-3</v>
      </c>
      <c r="J28" s="65"/>
      <c r="K28" s="65">
        <f t="shared" si="1"/>
        <v>5.4545454545454541E-3</v>
      </c>
      <c r="L28" s="10"/>
    </row>
    <row r="29" spans="1:13" ht="15.75" x14ac:dyDescent="0.25">
      <c r="A29" s="146" t="s">
        <v>33</v>
      </c>
      <c r="B29" s="148" t="str">
        <f>'[4]8 Ультровысокочастотная терап'!A13</f>
        <v xml:space="preserve">Ультравысокочастотная терапия </v>
      </c>
      <c r="C29" s="128" t="str">
        <f t="shared" si="0"/>
        <v>процедура</v>
      </c>
      <c r="D29" s="129">
        <f>'[4]Уровень цен'!D18</f>
        <v>2.98</v>
      </c>
      <c r="E29" s="130" t="s">
        <v>25</v>
      </c>
      <c r="F29" s="147">
        <f>'[4]8 Ультровысокочастотная терап'!P30</f>
        <v>0.09</v>
      </c>
      <c r="G29" s="132">
        <f>'[4]Уровень цен'!E18</f>
        <v>4.3</v>
      </c>
      <c r="H29" s="133" t="s">
        <v>25</v>
      </c>
      <c r="I29" s="64">
        <f>0.03*$I$13/110</f>
        <v>2.7272727272727271E-3</v>
      </c>
      <c r="J29" s="65"/>
      <c r="K29" s="65">
        <f t="shared" si="1"/>
        <v>2.7272727272727271E-3</v>
      </c>
      <c r="L29" s="10"/>
    </row>
    <row r="30" spans="1:13" ht="15.75" x14ac:dyDescent="0.25">
      <c r="A30" s="126" t="s">
        <v>34</v>
      </c>
      <c r="B30" s="127" t="str">
        <f>'[4]9 Сантиметроволнов терап'!A13</f>
        <v xml:space="preserve">Сантиметроволновая терапия </v>
      </c>
      <c r="C30" s="128" t="str">
        <f t="shared" si="0"/>
        <v>процедура</v>
      </c>
      <c r="D30" s="129">
        <f>'[4]Уровень цен'!D19</f>
        <v>2.98</v>
      </c>
      <c r="E30" s="130" t="s">
        <v>25</v>
      </c>
      <c r="F30" s="147">
        <f>'[4]9 Сантиметроволнов терап'!P30</f>
        <v>0.09</v>
      </c>
      <c r="G30" s="132">
        <f>'[4]Уровень цен'!E19</f>
        <v>4.3</v>
      </c>
      <c r="H30" s="133" t="s">
        <v>25</v>
      </c>
      <c r="I30" s="64">
        <f>0.03*$I$13/110</f>
        <v>2.7272727272727271E-3</v>
      </c>
      <c r="J30" s="65"/>
      <c r="K30" s="65">
        <f t="shared" si="1"/>
        <v>2.7272727272727271E-3</v>
      </c>
      <c r="L30" s="10"/>
    </row>
    <row r="31" spans="1:13" ht="15.75" x14ac:dyDescent="0.25">
      <c r="A31" s="146" t="s">
        <v>35</v>
      </c>
      <c r="B31" s="127" t="str">
        <f>'[4]10 Магнитотерапия мест'!A13</f>
        <v xml:space="preserve">Магнитотерапия местная  </v>
      </c>
      <c r="C31" s="128" t="str">
        <f t="shared" si="0"/>
        <v>процедура</v>
      </c>
      <c r="D31" s="129">
        <f>'[4]Уровень цен'!D20</f>
        <v>2.99</v>
      </c>
      <c r="E31" s="130" t="s">
        <v>25</v>
      </c>
      <c r="F31" s="147">
        <f>'[4]10 Магнитотерапия мест'!P30</f>
        <v>0.09</v>
      </c>
      <c r="G31" s="132">
        <f>'[4]Уровень цен'!E20</f>
        <v>4.3</v>
      </c>
      <c r="H31" s="133" t="s">
        <v>25</v>
      </c>
      <c r="I31" s="64">
        <f>0.03*$I$13/110</f>
        <v>2.7272727272727271E-3</v>
      </c>
      <c r="J31" s="65"/>
      <c r="K31" s="65">
        <f t="shared" si="1"/>
        <v>2.7272727272727271E-3</v>
      </c>
      <c r="L31" s="10"/>
    </row>
    <row r="32" spans="1:13" ht="15.75" x14ac:dyDescent="0.25">
      <c r="A32" s="149" t="s">
        <v>36</v>
      </c>
      <c r="B32" s="127" t="str">
        <f>'[4]11 Магнитотерапия общ'!A13</f>
        <v>Магнитотерапия общая</v>
      </c>
      <c r="C32" s="150" t="str">
        <f t="shared" si="0"/>
        <v>процедура</v>
      </c>
      <c r="D32" s="151">
        <f>'[4]Уровень цен'!D21</f>
        <v>5.91</v>
      </c>
      <c r="E32" s="152" t="s">
        <v>25</v>
      </c>
      <c r="F32" s="153">
        <f>'[4]11 Магнитотерапия общ'!P30</f>
        <v>0.09</v>
      </c>
      <c r="G32" s="154">
        <f>'[4]Уровень цен'!E21</f>
        <v>8.67</v>
      </c>
      <c r="H32" s="133" t="s">
        <v>25</v>
      </c>
      <c r="I32" s="64">
        <f>0.03*$I$13/110</f>
        <v>2.7272727272727271E-3</v>
      </c>
      <c r="J32" s="65"/>
      <c r="K32" s="65">
        <f t="shared" si="1"/>
        <v>2.7272727272727271E-3</v>
      </c>
      <c r="L32" s="10"/>
    </row>
    <row r="33" spans="1:12" ht="15.75" x14ac:dyDescent="0.25">
      <c r="A33" s="149" t="s">
        <v>37</v>
      </c>
      <c r="B33" s="127" t="str">
        <f>'[4]41 Индуктометрия'!A13</f>
        <v>Индуктотермия</v>
      </c>
      <c r="C33" s="150" t="str">
        <f t="shared" si="0"/>
        <v>процедура</v>
      </c>
      <c r="D33" s="151">
        <f>'[4]Уровень цен'!D22</f>
        <v>5.08</v>
      </c>
      <c r="E33" s="152" t="s">
        <v>25</v>
      </c>
      <c r="F33" s="153">
        <f>'[4]41 Индуктометрия'!P30</f>
        <v>7.0000000000000007E-2</v>
      </c>
      <c r="G33" s="154">
        <f>'[4]Уровень цен'!E22</f>
        <v>7.94</v>
      </c>
      <c r="H33" s="133" t="s">
        <v>25</v>
      </c>
      <c r="I33" s="64">
        <f>0.01*$I$13/110</f>
        <v>9.0909090909090909E-4</v>
      </c>
      <c r="J33" s="65"/>
      <c r="K33" s="65">
        <f t="shared" si="1"/>
        <v>9.0909090909090909E-4</v>
      </c>
      <c r="L33" s="10"/>
    </row>
    <row r="34" spans="1:12" ht="15.75" x14ac:dyDescent="0.25">
      <c r="A34" s="149" t="s">
        <v>38</v>
      </c>
      <c r="B34" s="127" t="str">
        <f>[5]прейскурант!$B$17</f>
        <v>Магнитостимуляция</v>
      </c>
      <c r="C34" s="150" t="str">
        <f t="shared" si="0"/>
        <v>процедура</v>
      </c>
      <c r="D34" s="151">
        <f>'[4]Уровень цен'!D23</f>
        <v>4.49</v>
      </c>
      <c r="E34" s="152" t="s">
        <v>25</v>
      </c>
      <c r="F34" s="153">
        <f>'[4]43 магнитостимуляция'!P29</f>
        <v>0.08</v>
      </c>
      <c r="G34" s="154">
        <f>'[4]Уровень цен'!E23</f>
        <v>5.89</v>
      </c>
      <c r="H34" s="133" t="s">
        <v>25</v>
      </c>
      <c r="I34" s="64">
        <f>0*I13/110</f>
        <v>0</v>
      </c>
      <c r="J34" s="65">
        <f>0.02*J13/120</f>
        <v>3.3333333333333335E-3</v>
      </c>
      <c r="K34" s="65">
        <f t="shared" si="1"/>
        <v>3.3333333333333335E-3</v>
      </c>
      <c r="L34" s="10"/>
    </row>
    <row r="35" spans="1:12" ht="15.75" x14ac:dyDescent="0.25">
      <c r="A35" s="149" t="s">
        <v>39</v>
      </c>
      <c r="B35" s="155" t="str">
        <f>[5]прейскурант!$B$18</f>
        <v>Аудиовизуальная стимуляция</v>
      </c>
      <c r="C35" s="150" t="str">
        <f t="shared" si="0"/>
        <v>процедура</v>
      </c>
      <c r="D35" s="151">
        <f>'[4]Уровень цен'!D24</f>
        <v>7.51</v>
      </c>
      <c r="E35" s="152" t="s">
        <v>25</v>
      </c>
      <c r="F35" s="153">
        <f>'[4]44 аудиостим.'!P29</f>
        <v>0.09</v>
      </c>
      <c r="G35" s="154">
        <f>'[4]Уровень цен'!E24</f>
        <v>9.86</v>
      </c>
      <c r="H35" s="133" t="s">
        <v>25</v>
      </c>
      <c r="I35" s="64">
        <f>0.03*I13/110</f>
        <v>2.7272727272727271E-3</v>
      </c>
      <c r="J35" s="65"/>
      <c r="K35" s="65">
        <f t="shared" si="1"/>
        <v>2.7272727272727271E-3</v>
      </c>
      <c r="L35" s="10"/>
    </row>
    <row r="36" spans="1:12" ht="20.25" customHeight="1" x14ac:dyDescent="0.25">
      <c r="A36" s="156" t="s">
        <v>92</v>
      </c>
      <c r="B36" s="157" t="s">
        <v>93</v>
      </c>
      <c r="C36" s="128"/>
      <c r="D36" s="129"/>
      <c r="E36" s="130"/>
      <c r="F36" s="147"/>
      <c r="G36" s="132"/>
      <c r="H36" s="133"/>
      <c r="I36" s="64"/>
      <c r="J36" s="65"/>
      <c r="K36" s="65"/>
      <c r="L36" s="10"/>
    </row>
    <row r="37" spans="1:12" ht="15.75" x14ac:dyDescent="0.25">
      <c r="A37" s="146" t="s">
        <v>72</v>
      </c>
      <c r="B37" s="127" t="str">
        <f>'[4]12 Ульттрафиолет'!A13</f>
        <v xml:space="preserve">Ультрафиолетовое облучение местное  </v>
      </c>
      <c r="C37" s="128" t="str">
        <f>$C$16</f>
        <v>процедура</v>
      </c>
      <c r="D37" s="129">
        <f>'[4]Уровень цен'!D26</f>
        <v>2.98</v>
      </c>
      <c r="E37" s="130" t="s">
        <v>25</v>
      </c>
      <c r="F37" s="147">
        <f>'[4]12 Ульттрафиолет'!P30</f>
        <v>0.09</v>
      </c>
      <c r="G37" s="132">
        <f>'[4]Уровень цен'!E26</f>
        <v>4.3</v>
      </c>
      <c r="H37" s="133" t="s">
        <v>25</v>
      </c>
      <c r="I37" s="64">
        <f>0.03*I13/110</f>
        <v>2.7272727272727271E-3</v>
      </c>
      <c r="J37" s="65"/>
      <c r="K37" s="65">
        <f>I37+J37</f>
        <v>2.7272727272727271E-3</v>
      </c>
      <c r="L37" s="10"/>
    </row>
    <row r="38" spans="1:12" ht="15.75" x14ac:dyDescent="0.25">
      <c r="A38" s="126" t="s">
        <v>73</v>
      </c>
      <c r="B38" s="127" t="str">
        <f>'[4]13 Инфракрасное облуч'!A13</f>
        <v xml:space="preserve">Видимое инфракрасное облучение местное </v>
      </c>
      <c r="C38" s="128" t="str">
        <f>$C$16</f>
        <v>процедура</v>
      </c>
      <c r="D38" s="129">
        <f>'[4]Уровень цен'!D27</f>
        <v>2.98</v>
      </c>
      <c r="E38" s="130" t="s">
        <v>25</v>
      </c>
      <c r="F38" s="147">
        <f>'[4]13 Инфракрасное облуч'!P30</f>
        <v>0.09</v>
      </c>
      <c r="G38" s="132">
        <f>'[4]Уровень цен'!E27</f>
        <v>4.3</v>
      </c>
      <c r="H38" s="133" t="s">
        <v>25</v>
      </c>
      <c r="I38" s="64">
        <f>0.03*I13/110</f>
        <v>2.7272727272727271E-3</v>
      </c>
      <c r="J38" s="65"/>
      <c r="K38" s="65">
        <f>I38+J38</f>
        <v>2.7272727272727271E-3</v>
      </c>
      <c r="L38" s="10"/>
    </row>
    <row r="39" spans="1:12" ht="15.75" x14ac:dyDescent="0.25">
      <c r="A39" s="146" t="s">
        <v>74</v>
      </c>
      <c r="B39" s="127" t="str">
        <f>'[4]14 Лазер'!A13</f>
        <v>Лазеротерапия, магнитолазеротерапия чрескожная</v>
      </c>
      <c r="C39" s="128" t="str">
        <f>$C$16</f>
        <v>процедура</v>
      </c>
      <c r="D39" s="129">
        <f>'[4]Уровень цен'!D28</f>
        <v>3.26</v>
      </c>
      <c r="E39" s="130" t="s">
        <v>25</v>
      </c>
      <c r="F39" s="147">
        <f>'[4]14 Лазер'!P30</f>
        <v>0.09</v>
      </c>
      <c r="G39" s="132">
        <f>'[4]Уровень цен'!E28</f>
        <v>6.15</v>
      </c>
      <c r="H39" s="133" t="s">
        <v>25</v>
      </c>
      <c r="I39" s="64">
        <f>0.03*I13/110</f>
        <v>2.7272727272727271E-3</v>
      </c>
      <c r="J39" s="65"/>
      <c r="K39" s="65">
        <f>I39+J39</f>
        <v>2.7272727272727271E-3</v>
      </c>
      <c r="L39" s="10"/>
    </row>
    <row r="40" spans="1:12" ht="30" x14ac:dyDescent="0.25">
      <c r="A40" s="126" t="s">
        <v>75</v>
      </c>
      <c r="B40" s="127" t="str">
        <f>'[4]15 Надвенный лазер'!A12</f>
        <v>Надвенное лазерное облучение, магнитолазерное облучение</v>
      </c>
      <c r="C40" s="128" t="str">
        <f>$C$16</f>
        <v>процедура</v>
      </c>
      <c r="D40" s="129">
        <f>'[4]Уровень цен'!D29</f>
        <v>6.21</v>
      </c>
      <c r="E40" s="130" t="s">
        <v>25</v>
      </c>
      <c r="F40" s="147">
        <f>'[4]15 Надвенный лазер'!P29</f>
        <v>0.09</v>
      </c>
      <c r="G40" s="132">
        <f>'[4]Уровень цен'!E29</f>
        <v>9.57</v>
      </c>
      <c r="H40" s="133" t="s">
        <v>25</v>
      </c>
      <c r="I40" s="64">
        <f>0.03*I13/110</f>
        <v>2.7272727272727271E-3</v>
      </c>
      <c r="J40" s="65"/>
      <c r="K40" s="65">
        <f>I40+J40</f>
        <v>2.7272727272727271E-3</v>
      </c>
      <c r="L40" s="10"/>
    </row>
    <row r="41" spans="1:12" ht="21.75" customHeight="1" x14ac:dyDescent="0.25">
      <c r="A41" s="158">
        <v>42857</v>
      </c>
      <c r="B41" s="127" t="str">
        <f>'[4]35 Лазеротерапия пол.'!A12</f>
        <v>Лазеротерапия полостная</v>
      </c>
      <c r="C41" s="128" t="str">
        <f>$C$16</f>
        <v>процедура</v>
      </c>
      <c r="D41" s="129">
        <f>'[4]Уровень цен'!D30</f>
        <v>6.21</v>
      </c>
      <c r="E41" s="130" t="s">
        <v>25</v>
      </c>
      <c r="F41" s="147">
        <f>'[4]35 Лазеротерапия пол.'!P29</f>
        <v>0.56000000000000005</v>
      </c>
      <c r="G41" s="132">
        <f>'[4]Уровень цен'!E30</f>
        <v>9.57</v>
      </c>
      <c r="H41" s="133" t="s">
        <v>25</v>
      </c>
      <c r="I41" s="64">
        <f>0*I13/110</f>
        <v>0</v>
      </c>
      <c r="J41" s="65">
        <f>0.5*J13/120</f>
        <v>8.3333333333333329E-2</v>
      </c>
      <c r="K41" s="65">
        <f>I41+J41</f>
        <v>8.3333333333333329E-2</v>
      </c>
      <c r="L41" s="10"/>
    </row>
    <row r="42" spans="1:12" ht="20.25" customHeight="1" x14ac:dyDescent="0.25">
      <c r="A42" s="156" t="s">
        <v>94</v>
      </c>
      <c r="B42" s="157" t="s">
        <v>95</v>
      </c>
      <c r="C42" s="128"/>
      <c r="D42" s="129"/>
      <c r="E42" s="130"/>
      <c r="F42" s="147"/>
      <c r="G42" s="132"/>
      <c r="H42" s="133"/>
      <c r="I42" s="64"/>
      <c r="J42" s="65"/>
      <c r="K42" s="65"/>
      <c r="L42" s="10"/>
    </row>
    <row r="43" spans="1:12" ht="15.75" x14ac:dyDescent="0.25">
      <c r="A43" s="146" t="s">
        <v>96</v>
      </c>
      <c r="B43" s="127" t="str">
        <f>'[4]16 Ультразвук'!A13</f>
        <v>Ультразвуковая терапия</v>
      </c>
      <c r="C43" s="128" t="str">
        <f>$C$16</f>
        <v>процедура</v>
      </c>
      <c r="D43" s="129">
        <f>'[4]Уровень цен'!D32</f>
        <v>5.91</v>
      </c>
      <c r="E43" s="130" t="s">
        <v>25</v>
      </c>
      <c r="F43" s="159"/>
      <c r="G43" s="132">
        <f>'[4]Уровень цен'!E32</f>
        <v>8.67</v>
      </c>
      <c r="H43" s="133" t="s">
        <v>25</v>
      </c>
      <c r="I43" s="64"/>
      <c r="J43" s="65"/>
      <c r="K43" s="65"/>
      <c r="L43" s="10"/>
    </row>
    <row r="44" spans="1:12" ht="15.75" x14ac:dyDescent="0.25">
      <c r="A44" s="146"/>
      <c r="B44" s="160" t="str">
        <f>'[4]16 Ультразвук'!J24</f>
        <v>Диклофенак гель 5%</v>
      </c>
      <c r="C44" s="128"/>
      <c r="D44" s="129"/>
      <c r="E44" s="130"/>
      <c r="F44" s="147">
        <f>'[4]16 Ультразвук'!P33</f>
        <v>0.6</v>
      </c>
      <c r="G44" s="132"/>
      <c r="H44" s="133"/>
      <c r="I44" s="64">
        <f>0.54*I13/110</f>
        <v>4.9090909090909095E-2</v>
      </c>
      <c r="J44" s="65">
        <f>0*J13/120</f>
        <v>0</v>
      </c>
      <c r="K44" s="65">
        <f>I44+J44</f>
        <v>4.9090909090909095E-2</v>
      </c>
      <c r="L44" s="10"/>
    </row>
    <row r="45" spans="1:12" ht="15.75" x14ac:dyDescent="0.25">
      <c r="A45" s="146"/>
      <c r="B45" s="160" t="str">
        <f>'[4]16 Ультразвук'!J25</f>
        <v>Гидрокортизон мазь  1%</v>
      </c>
      <c r="C45" s="128"/>
      <c r="D45" s="129"/>
      <c r="E45" s="130"/>
      <c r="F45" s="147">
        <f>'[4]16 Ультразвук'!P34</f>
        <v>0.63</v>
      </c>
      <c r="G45" s="132"/>
      <c r="H45" s="133"/>
      <c r="I45" s="64">
        <f>0.57*$I$13/110</f>
        <v>5.1818181818181812E-2</v>
      </c>
      <c r="J45" s="65"/>
      <c r="K45" s="65">
        <f t="shared" ref="K45:K112" si="2">I45+J45</f>
        <v>5.1818181818181812E-2</v>
      </c>
      <c r="L45" s="10"/>
    </row>
    <row r="46" spans="1:12" ht="15.75" x14ac:dyDescent="0.25">
      <c r="A46" s="126" t="s">
        <v>97</v>
      </c>
      <c r="B46" s="127" t="str">
        <f>'[4]17Тракционная терапг'!A13</f>
        <v xml:space="preserve">Аппаратная тракционная терапия    </v>
      </c>
      <c r="C46" s="128" t="str">
        <f>$C$16</f>
        <v>процедура</v>
      </c>
      <c r="D46" s="129">
        <f>'[4]Уровень цен'!D33</f>
        <v>16.239999999999998</v>
      </c>
      <c r="E46" s="130" t="s">
        <v>25</v>
      </c>
      <c r="F46" s="147">
        <f>'[4]17Тракционная терапг'!P30</f>
        <v>0</v>
      </c>
      <c r="G46" s="132">
        <f>'[4]Уровень цен'!E33</f>
        <v>25.63</v>
      </c>
      <c r="H46" s="133" t="s">
        <v>25</v>
      </c>
      <c r="I46" s="64">
        <f>0*$I$13/110</f>
        <v>0</v>
      </c>
      <c r="J46" s="65"/>
      <c r="K46" s="65">
        <f t="shared" si="2"/>
        <v>0</v>
      </c>
      <c r="L46" s="10"/>
    </row>
    <row r="47" spans="1:12" ht="45" x14ac:dyDescent="0.25">
      <c r="A47" s="146" t="s">
        <v>98</v>
      </c>
      <c r="B47" s="127" t="str">
        <f>'[4]18 Массаж кушетка'!A12</f>
        <v xml:space="preserve">Механический  аппаратный массаж на массажной кушетке,  массажном кресле с локальной  термотерапией         </v>
      </c>
      <c r="C47" s="128" t="str">
        <f>$C$16</f>
        <v>процедура</v>
      </c>
      <c r="D47" s="129">
        <f>'[4]Уровень цен'!D34</f>
        <v>7.37</v>
      </c>
      <c r="E47" s="130" t="s">
        <v>25</v>
      </c>
      <c r="F47" s="147">
        <f>'[4]18 Массаж кушетка'!P29</f>
        <v>0.09</v>
      </c>
      <c r="G47" s="132">
        <f>'[4]Уровень цен'!E34</f>
        <v>11.68</v>
      </c>
      <c r="H47" s="133" t="s">
        <v>25</v>
      </c>
      <c r="I47" s="64">
        <f>0.03*$I$13/110</f>
        <v>2.7272727272727271E-3</v>
      </c>
      <c r="J47" s="65"/>
      <c r="K47" s="65">
        <f t="shared" si="2"/>
        <v>2.7272727272727271E-3</v>
      </c>
      <c r="L47" s="10"/>
    </row>
    <row r="48" spans="1:12" ht="17.25" customHeight="1" x14ac:dyDescent="0.25">
      <c r="A48" s="146" t="s">
        <v>99</v>
      </c>
      <c r="B48" s="127" t="str">
        <f>'[4]36 Лимфомат'!A13</f>
        <v>Пневмокомпрессионная терапия</v>
      </c>
      <c r="C48" s="128" t="str">
        <f>$C$16</f>
        <v>процедура</v>
      </c>
      <c r="D48" s="129">
        <f>'[4]Уровень цен'!D35</f>
        <v>6.93</v>
      </c>
      <c r="E48" s="130" t="s">
        <v>25</v>
      </c>
      <c r="F48" s="147">
        <f>'[4]36р'!P30</f>
        <v>0.08</v>
      </c>
      <c r="G48" s="132">
        <f>'[4]Уровень цен'!E35</f>
        <v>9.9</v>
      </c>
      <c r="H48" s="133" t="s">
        <v>25</v>
      </c>
      <c r="I48" s="64">
        <f>0*I13/110</f>
        <v>0</v>
      </c>
      <c r="J48" s="65">
        <f>0.02*J13/120</f>
        <v>3.3333333333333335E-3</v>
      </c>
      <c r="K48" s="65">
        <f t="shared" si="2"/>
        <v>3.3333333333333335E-3</v>
      </c>
      <c r="L48" s="10"/>
    </row>
    <row r="49" spans="1:12" ht="18.75" customHeight="1" x14ac:dyDescent="0.25">
      <c r="A49" s="146" t="s">
        <v>100</v>
      </c>
      <c r="B49" s="127" t="str">
        <f>'[4]42 Бесконтактный гидромассаж'!A13</f>
        <v>Бесконтактный гидромассаж</v>
      </c>
      <c r="C49" s="128" t="str">
        <f>$C$16</f>
        <v>процедура</v>
      </c>
      <c r="D49" s="129">
        <f>'[4]Уровень цен'!D36</f>
        <v>6.35</v>
      </c>
      <c r="E49" s="130" t="s">
        <v>25</v>
      </c>
      <c r="F49" s="147">
        <f>'[4]42 Бесконтактный гидромассаж'!P27</f>
        <v>0</v>
      </c>
      <c r="G49" s="132">
        <f>'[4]Уровень цен'!E36</f>
        <v>12.71</v>
      </c>
      <c r="H49" s="133" t="s">
        <v>25</v>
      </c>
      <c r="I49" s="64">
        <f>0*I13/110</f>
        <v>0</v>
      </c>
      <c r="J49" s="65"/>
      <c r="K49" s="65">
        <f t="shared" si="2"/>
        <v>0</v>
      </c>
      <c r="L49" s="10"/>
    </row>
    <row r="50" spans="1:12" ht="20.25" customHeight="1" x14ac:dyDescent="0.25">
      <c r="A50" s="156" t="s">
        <v>101</v>
      </c>
      <c r="B50" s="157" t="s">
        <v>102</v>
      </c>
      <c r="C50" s="128"/>
      <c r="D50" s="129"/>
      <c r="E50" s="130"/>
      <c r="F50" s="147"/>
      <c r="G50" s="132"/>
      <c r="H50" s="133"/>
      <c r="I50" s="64"/>
      <c r="J50" s="65"/>
      <c r="K50" s="65"/>
      <c r="L50" s="10"/>
    </row>
    <row r="51" spans="1:12" ht="15.75" x14ac:dyDescent="0.25">
      <c r="A51" s="146" t="s">
        <v>103</v>
      </c>
      <c r="B51" s="127" t="str">
        <f>'[4]19 Инголяции лек'!A13</f>
        <v>Ингаляции лекарственные</v>
      </c>
      <c r="C51" s="128" t="str">
        <f>$C$16</f>
        <v>процедура</v>
      </c>
      <c r="D51" s="129">
        <f>'[4]Уровень цен'!D38</f>
        <v>2.5299999999999998</v>
      </c>
      <c r="E51" s="130" t="s">
        <v>25</v>
      </c>
      <c r="F51" s="147"/>
      <c r="G51" s="132">
        <f>'[4]Уровень цен'!E38</f>
        <v>3.57</v>
      </c>
      <c r="H51" s="133" t="s">
        <v>25</v>
      </c>
      <c r="I51" s="64"/>
      <c r="J51" s="65"/>
      <c r="K51" s="65"/>
      <c r="L51" s="10"/>
    </row>
    <row r="52" spans="1:12" ht="15.75" x14ac:dyDescent="0.25">
      <c r="A52" s="146" t="s">
        <v>104</v>
      </c>
      <c r="B52" s="160" t="str">
        <f>'[4]19 Инголяции лек'!J24</f>
        <v>Содосолевой раствор</v>
      </c>
      <c r="C52" s="128"/>
      <c r="D52" s="129"/>
      <c r="E52" s="130"/>
      <c r="F52" s="147">
        <f>'[4]19 Инголяции лек'!P30</f>
        <v>0.1</v>
      </c>
      <c r="G52" s="132"/>
      <c r="H52" s="133"/>
      <c r="I52" s="64">
        <f>0*I13/110</f>
        <v>0</v>
      </c>
      <c r="J52" s="65">
        <f>0.1*J13/120</f>
        <v>1.6666666666666666E-2</v>
      </c>
      <c r="K52" s="65">
        <f t="shared" si="2"/>
        <v>1.6666666666666666E-2</v>
      </c>
      <c r="L52" s="10"/>
    </row>
    <row r="53" spans="1:12" ht="18" customHeight="1" x14ac:dyDescent="0.25">
      <c r="A53" s="146" t="s">
        <v>105</v>
      </c>
      <c r="B53" s="160" t="str">
        <f>'[4]19.1 Инголяции лек '!J24</f>
        <v xml:space="preserve">Эвкалипта настойка </v>
      </c>
      <c r="C53" s="128"/>
      <c r="D53" s="129"/>
      <c r="E53" s="130"/>
      <c r="F53" s="147">
        <f>'[4]19.1 Инголяции лек '!P30</f>
        <v>0.02</v>
      </c>
      <c r="G53" s="132"/>
      <c r="H53" s="133"/>
      <c r="I53" s="64">
        <f>0.02*I13/110</f>
        <v>1.8181818181818182E-3</v>
      </c>
      <c r="J53" s="65"/>
      <c r="K53" s="65">
        <f t="shared" si="2"/>
        <v>1.8181818181818182E-3</v>
      </c>
      <c r="L53" s="10"/>
    </row>
    <row r="54" spans="1:12" ht="15.75" hidden="1" x14ac:dyDescent="0.25">
      <c r="A54" s="126" t="s">
        <v>106</v>
      </c>
      <c r="B54" s="127" t="str">
        <f>'[4]20 Инголяц ультрна'!A14</f>
        <v xml:space="preserve">Ингаляции  ультразвуковые          </v>
      </c>
      <c r="C54" s="128" t="str">
        <f>$C$16</f>
        <v>процедура</v>
      </c>
      <c r="D54" s="129">
        <f>'[4]Уровень цен'!D39</f>
        <v>2.5299999999999998</v>
      </c>
      <c r="E54" s="130" t="s">
        <v>25</v>
      </c>
      <c r="F54" s="147">
        <f>'[4]20 Инголяц ультрна'!P31</f>
        <v>1</v>
      </c>
      <c r="G54" s="132">
        <f>'[4]Уровень цен'!E39</f>
        <v>3.57</v>
      </c>
      <c r="H54" s="133" t="s">
        <v>25</v>
      </c>
      <c r="I54" s="64">
        <f>0*I13/110</f>
        <v>0</v>
      </c>
      <c r="J54" s="65">
        <f>1*J13/120</f>
        <v>0.16666666666666666</v>
      </c>
      <c r="K54" s="65">
        <f t="shared" si="2"/>
        <v>0.16666666666666666</v>
      </c>
      <c r="L54" s="10"/>
    </row>
    <row r="55" spans="1:12" ht="15.75" hidden="1" x14ac:dyDescent="0.25">
      <c r="A55" s="146" t="s">
        <v>107</v>
      </c>
      <c r="B55" s="127" t="str">
        <f>'[4]21 Галоинголя '!A13</f>
        <v xml:space="preserve">Галоингаляция     </v>
      </c>
      <c r="C55" s="128" t="str">
        <f>$C$16</f>
        <v>процедура</v>
      </c>
      <c r="D55" s="129">
        <f>'[4]Уровень цен'!D40</f>
        <v>2.5299999999999998</v>
      </c>
      <c r="E55" s="130" t="s">
        <v>25</v>
      </c>
      <c r="F55" s="147">
        <f>'[4]21 Галоинголя '!P30</f>
        <v>0</v>
      </c>
      <c r="G55" s="132">
        <f>'[4]Уровень цен'!E40</f>
        <v>3.57</v>
      </c>
      <c r="H55" s="133" t="s">
        <v>25</v>
      </c>
      <c r="I55" s="64">
        <f>0*I13/110</f>
        <v>0</v>
      </c>
      <c r="J55" s="65"/>
      <c r="K55" s="65">
        <f t="shared" si="2"/>
        <v>0</v>
      </c>
      <c r="L55" s="10"/>
    </row>
    <row r="56" spans="1:12" ht="18" customHeight="1" x14ac:dyDescent="0.25">
      <c r="A56" s="158">
        <v>42770</v>
      </c>
      <c r="B56" s="127" t="str">
        <f>'[4]38 Аромафитотерапия'!A13</f>
        <v>Аромафитотерапия, аэрофитотерапия (до 7 человек)</v>
      </c>
      <c r="C56" s="128" t="str">
        <f>C55</f>
        <v>процедура</v>
      </c>
      <c r="D56" s="129">
        <f>'[4]38 Аромафитотерапия'!G30</f>
        <v>1.3</v>
      </c>
      <c r="E56" s="130" t="s">
        <v>25</v>
      </c>
      <c r="F56" s="147"/>
      <c r="G56" s="132">
        <f>'[4]38р'!G30</f>
        <v>1.65</v>
      </c>
      <c r="H56" s="133" t="s">
        <v>25</v>
      </c>
      <c r="I56" s="64"/>
      <c r="J56" s="65"/>
      <c r="K56" s="65"/>
      <c r="L56" s="10"/>
    </row>
    <row r="57" spans="1:12" ht="18" customHeight="1" x14ac:dyDescent="0.25">
      <c r="A57" s="158"/>
      <c r="B57" s="160" t="str">
        <f>'[4]38 Аромафитотерапия'!L30</f>
        <v xml:space="preserve"> АФРОДИЗИАК аромакомпозиция масел</v>
      </c>
      <c r="C57" s="128"/>
      <c r="D57" s="129"/>
      <c r="E57" s="130"/>
      <c r="F57" s="147">
        <f>'[4]38 Аромафитотерапия'!P30</f>
        <v>0.23</v>
      </c>
      <c r="G57" s="132"/>
      <c r="H57" s="133"/>
      <c r="I57" s="64">
        <f>0*$I$13/110</f>
        <v>0</v>
      </c>
      <c r="J57" s="65">
        <f>0.23*J13/120</f>
        <v>3.8333333333333337E-2</v>
      </c>
      <c r="K57" s="65">
        <f t="shared" si="2"/>
        <v>3.8333333333333337E-2</v>
      </c>
      <c r="L57" s="10"/>
    </row>
    <row r="58" spans="1:12" ht="32.25" customHeight="1" x14ac:dyDescent="0.25">
      <c r="A58" s="158"/>
      <c r="B58" s="160" t="str">
        <f>'[4]38 Аромафитотерапия'!L31</f>
        <v>НОРМАЛИЗАЦИЯ ВЕСА, АРОМАТ ЛЮБВИ аромакомпозиция масел</v>
      </c>
      <c r="C58" s="128"/>
      <c r="D58" s="129"/>
      <c r="E58" s="130"/>
      <c r="F58" s="147">
        <f>'[4]38 Аромафитотерапия'!P31</f>
        <v>0.17</v>
      </c>
      <c r="G58" s="132"/>
      <c r="H58" s="133"/>
      <c r="I58" s="64">
        <f>0*$I$13/110</f>
        <v>0</v>
      </c>
      <c r="J58" s="65">
        <f>0.17*J13/120</f>
        <v>2.8333333333333335E-2</v>
      </c>
      <c r="K58" s="65">
        <f t="shared" si="2"/>
        <v>2.8333333333333335E-2</v>
      </c>
      <c r="L58" s="10"/>
    </row>
    <row r="59" spans="1:12" ht="18" customHeight="1" x14ac:dyDescent="0.25">
      <c r="A59" s="158"/>
      <c r="B59" s="160" t="str">
        <f>'[4]38 Аромафитотерапия'!L32</f>
        <v>АНТИСТРЕСС аромакомпозиция масел</v>
      </c>
      <c r="C59" s="128"/>
      <c r="D59" s="129"/>
      <c r="E59" s="130"/>
      <c r="F59" s="147">
        <f>'[4]38 Аромафитотерапия'!P32</f>
        <v>0.19</v>
      </c>
      <c r="G59" s="132"/>
      <c r="H59" s="133"/>
      <c r="I59" s="64">
        <f>0*$I$13/110</f>
        <v>0</v>
      </c>
      <c r="J59" s="65">
        <f>0.19*J13/120</f>
        <v>3.1666666666666662E-2</v>
      </c>
      <c r="K59" s="65">
        <f t="shared" si="2"/>
        <v>3.1666666666666662E-2</v>
      </c>
      <c r="L59" s="10"/>
    </row>
    <row r="60" spans="1:12" ht="30.75" customHeight="1" x14ac:dyDescent="0.25">
      <c r="A60" s="158"/>
      <c r="B60" s="160" t="str">
        <f>'[4]38 Аромафитотерапия'!L33</f>
        <v xml:space="preserve">ХВОЙНЫЙ ЛЕС аромакомпозиция масел эфирных натуральных </v>
      </c>
      <c r="C60" s="128"/>
      <c r="D60" s="129"/>
      <c r="E60" s="130"/>
      <c r="F60" s="147">
        <f>'[4]38 Аромафитотерапия'!P33</f>
        <v>0.17</v>
      </c>
      <c r="G60" s="132"/>
      <c r="H60" s="133"/>
      <c r="I60" s="64">
        <f>0*$I$13/110</f>
        <v>0</v>
      </c>
      <c r="J60" s="65">
        <f>0.17*$J$13/120</f>
        <v>2.8333333333333335E-2</v>
      </c>
      <c r="K60" s="65">
        <f t="shared" si="2"/>
        <v>2.8333333333333335E-2</v>
      </c>
      <c r="L60" s="10"/>
    </row>
    <row r="61" spans="1:12" ht="29.25" customHeight="1" x14ac:dyDescent="0.25">
      <c r="A61" s="158"/>
      <c r="B61" s="160" t="str">
        <f>'[4]38 Аромафитотерапия'!L34</f>
        <v>ДЫХАНИЕ+аромакомпозиция масел эфирных натуральных</v>
      </c>
      <c r="C61" s="128"/>
      <c r="D61" s="129"/>
      <c r="E61" s="130"/>
      <c r="F61" s="147">
        <f>'[4]38 Аромафитотерапия'!P34</f>
        <v>0.21</v>
      </c>
      <c r="G61" s="132"/>
      <c r="H61" s="133"/>
      <c r="I61" s="64">
        <f>0*$I$13/110</f>
        <v>0</v>
      </c>
      <c r="J61" s="65">
        <f>0.21*$J$13/120</f>
        <v>3.5000000000000003E-2</v>
      </c>
      <c r="K61" s="65">
        <f t="shared" si="2"/>
        <v>3.5000000000000003E-2</v>
      </c>
      <c r="L61" s="10"/>
    </row>
    <row r="62" spans="1:12" ht="18" customHeight="1" x14ac:dyDescent="0.25">
      <c r="A62" s="158">
        <v>43528</v>
      </c>
      <c r="B62" s="127" t="str">
        <f>'[4]40 галотерапия'!A11</f>
        <v>Галотерапия, камерная спелеотерапия (до 6 человек)</v>
      </c>
      <c r="C62" s="128" t="str">
        <f>C56</f>
        <v>процедура</v>
      </c>
      <c r="D62" s="129">
        <f>'[4]40 галотерапия'!G29</f>
        <v>3.64</v>
      </c>
      <c r="E62" s="130" t="s">
        <v>25</v>
      </c>
      <c r="F62" s="147">
        <f>'[4]40 галотерапия'!O27</f>
        <v>2.37</v>
      </c>
      <c r="G62" s="132">
        <f>'[4]40р галотерапия '!G29</f>
        <v>4.43</v>
      </c>
      <c r="H62" s="133" t="s">
        <v>25</v>
      </c>
      <c r="I62" s="64">
        <f>2.37*I13/110</f>
        <v>0.21545454545454548</v>
      </c>
      <c r="J62" s="65">
        <f>0.003*J13/120</f>
        <v>5.0000000000000001E-4</v>
      </c>
      <c r="K62" s="65">
        <f t="shared" si="2"/>
        <v>0.21595454545454548</v>
      </c>
      <c r="L62" s="10"/>
    </row>
    <row r="63" spans="1:12" ht="18" customHeight="1" x14ac:dyDescent="0.25">
      <c r="A63" s="158">
        <v>43559</v>
      </c>
      <c r="B63" s="127" t="str">
        <f>[5]прейскурант!$B$20</f>
        <v>Коктейли кислородные</v>
      </c>
      <c r="C63" s="128" t="str">
        <f>$C$16</f>
        <v>процедура</v>
      </c>
      <c r="D63" s="129">
        <f>'[4]45 коктель'!G29</f>
        <v>1.38</v>
      </c>
      <c r="E63" s="130" t="s">
        <v>25</v>
      </c>
      <c r="F63" s="147"/>
      <c r="G63" s="132">
        <f>'[4]45р коктель'!G29</f>
        <v>1.75</v>
      </c>
      <c r="H63" s="133" t="s">
        <v>25</v>
      </c>
      <c r="I63" s="64"/>
      <c r="J63" s="65"/>
      <c r="K63" s="65"/>
      <c r="L63" s="10"/>
    </row>
    <row r="64" spans="1:12" ht="18" hidden="1" customHeight="1" x14ac:dyDescent="0.25">
      <c r="A64" s="158"/>
      <c r="B64" s="161" t="str">
        <f>'[4]45 коктель'!K29</f>
        <v>Пенообразователь "Окси"</v>
      </c>
      <c r="C64" s="128"/>
      <c r="D64" s="129"/>
      <c r="E64" s="130"/>
      <c r="F64" s="147">
        <f>'[4]45 коктель'!P29</f>
        <v>0.82</v>
      </c>
      <c r="G64" s="132"/>
      <c r="H64" s="133"/>
      <c r="I64" s="64">
        <v>0</v>
      </c>
      <c r="J64" s="65">
        <f>0.6*J13/120</f>
        <v>0.1</v>
      </c>
      <c r="K64" s="65">
        <f t="shared" si="2"/>
        <v>0.1</v>
      </c>
      <c r="L64" s="10"/>
    </row>
    <row r="65" spans="1:12" ht="18" customHeight="1" x14ac:dyDescent="0.25">
      <c r="A65" s="158"/>
      <c r="B65" s="160" t="str">
        <f>'[4]45 коктель'!K30</f>
        <v>Сироп корня солодки</v>
      </c>
      <c r="C65" s="128"/>
      <c r="D65" s="129"/>
      <c r="E65" s="130"/>
      <c r="F65" s="147">
        <f>'[4]45 коктель'!P30</f>
        <v>0.67</v>
      </c>
      <c r="G65" s="132"/>
      <c r="H65" s="133"/>
      <c r="I65" s="64">
        <f>0.05*I13/110</f>
        <v>4.5454545454545452E-3</v>
      </c>
      <c r="J65" s="65">
        <f>0.62*J13/120</f>
        <v>0.10333333333333333</v>
      </c>
      <c r="K65" s="65">
        <f t="shared" si="2"/>
        <v>0.10787878787878788</v>
      </c>
      <c r="L65" s="10"/>
    </row>
    <row r="66" spans="1:12" ht="21" customHeight="1" x14ac:dyDescent="0.25">
      <c r="A66" s="156" t="s">
        <v>108</v>
      </c>
      <c r="B66" s="157" t="s">
        <v>109</v>
      </c>
      <c r="C66" s="128"/>
      <c r="D66" s="129"/>
      <c r="E66" s="130"/>
      <c r="F66" s="147"/>
      <c r="G66" s="132"/>
      <c r="H66" s="133"/>
      <c r="I66" s="64"/>
      <c r="J66" s="65"/>
      <c r="K66" s="65"/>
      <c r="L66" s="10"/>
    </row>
    <row r="67" spans="1:12" ht="28.5" customHeight="1" x14ac:dyDescent="0.25">
      <c r="A67" s="146" t="s">
        <v>110</v>
      </c>
      <c r="B67" s="162" t="str">
        <f>'[4]22 Душ'!A13</f>
        <v>Душ (циркулярный, восходящий, горизонтальный)</v>
      </c>
      <c r="C67" s="128" t="str">
        <f>$C$16</f>
        <v>процедура</v>
      </c>
      <c r="D67" s="129">
        <f>'[4]Уровень цен'!D45</f>
        <v>3.41</v>
      </c>
      <c r="E67" s="130" t="s">
        <v>25</v>
      </c>
      <c r="F67" s="147">
        <f>'[4]22 Душ'!P30</f>
        <v>1.1000000000000001</v>
      </c>
      <c r="G67" s="132">
        <f>'[4]Уровень цен'!E45</f>
        <v>4.43</v>
      </c>
      <c r="H67" s="133" t="s">
        <v>25</v>
      </c>
      <c r="I67" s="64">
        <f>0*I13/110</f>
        <v>0</v>
      </c>
      <c r="J67" s="65">
        <f>1.1*J13/120</f>
        <v>0.18333333333333332</v>
      </c>
      <c r="K67" s="65">
        <f t="shared" si="2"/>
        <v>0.18333333333333332</v>
      </c>
      <c r="L67" s="10"/>
    </row>
    <row r="68" spans="1:12" ht="22.5" customHeight="1" x14ac:dyDescent="0.25">
      <c r="A68" s="146" t="s">
        <v>111</v>
      </c>
      <c r="B68" s="162" t="str">
        <f>[5]прейскурант!$B$22</f>
        <v>Душ дождевой</v>
      </c>
      <c r="C68" s="128" t="str">
        <f>$C$16</f>
        <v>процедура</v>
      </c>
      <c r="D68" s="129">
        <f>'[4]Уровень цен'!D46</f>
        <v>3.26</v>
      </c>
      <c r="E68" s="130" t="s">
        <v>25</v>
      </c>
      <c r="F68" s="147">
        <f>'[4]46 душ длждевой'!P29</f>
        <v>1.08</v>
      </c>
      <c r="G68" s="132">
        <f>'[4]Уровень цен'!E46</f>
        <v>4.13</v>
      </c>
      <c r="H68" s="133" t="s">
        <v>25</v>
      </c>
      <c r="I68" s="64">
        <f>0*I13/110</f>
        <v>0</v>
      </c>
      <c r="J68" s="65">
        <f>1.08*J13/120</f>
        <v>0.18000000000000002</v>
      </c>
      <c r="K68" s="65">
        <f t="shared" si="2"/>
        <v>0.18000000000000002</v>
      </c>
      <c r="L68" s="10"/>
    </row>
    <row r="69" spans="1:12" ht="15.75" x14ac:dyDescent="0.25">
      <c r="A69" s="126" t="s">
        <v>112</v>
      </c>
      <c r="B69" s="162" t="str">
        <f>'[4]23 Подводный душ'!A13</f>
        <v>Подводный душ-массаж</v>
      </c>
      <c r="C69" s="128" t="str">
        <f>$C$16</f>
        <v>процедура</v>
      </c>
      <c r="D69" s="129">
        <f>'[4]Уровень цен'!D47</f>
        <v>12.74</v>
      </c>
      <c r="E69" s="130" t="s">
        <v>25</v>
      </c>
      <c r="F69" s="147">
        <f>'[4]23 Подводный душ'!P30</f>
        <v>1.23</v>
      </c>
      <c r="G69" s="132">
        <f>'[4]Уровень цен'!E47</f>
        <v>17.77</v>
      </c>
      <c r="H69" s="133" t="s">
        <v>25</v>
      </c>
      <c r="I69" s="64">
        <f>0*I13/110</f>
        <v>0</v>
      </c>
      <c r="J69" s="65">
        <f>1.22*J13/120</f>
        <v>0.20333333333333331</v>
      </c>
      <c r="K69" s="65">
        <f t="shared" si="2"/>
        <v>0.20333333333333331</v>
      </c>
      <c r="L69" s="10"/>
    </row>
    <row r="70" spans="1:12" ht="15.75" x14ac:dyDescent="0.25">
      <c r="A70" s="146" t="s">
        <v>113</v>
      </c>
      <c r="B70" s="162" t="str">
        <f>'[4]24 Ванны ароматич'!A13</f>
        <v>Ванны пресные, ароматические</v>
      </c>
      <c r="C70" s="128" t="str">
        <f>$C$16</f>
        <v>процедура</v>
      </c>
      <c r="D70" s="129">
        <f>'[4]Уровень цен'!D48</f>
        <v>3.41</v>
      </c>
      <c r="E70" s="130" t="s">
        <v>25</v>
      </c>
      <c r="F70" s="163"/>
      <c r="G70" s="164">
        <f>'[4]Уровень цен'!E48</f>
        <v>4.7699999999999996</v>
      </c>
      <c r="H70" s="133" t="s">
        <v>25</v>
      </c>
      <c r="I70" s="64"/>
      <c r="J70" s="65"/>
      <c r="K70" s="65"/>
      <c r="L70" s="10"/>
    </row>
    <row r="71" spans="1:12" ht="15.75" x14ac:dyDescent="0.25">
      <c r="A71" s="146"/>
      <c r="B71" s="160" t="str">
        <f>'[4]24 Ванны ароматич'!J25</f>
        <v>Экстракт "Хвойный"</v>
      </c>
      <c r="C71" s="128"/>
      <c r="D71" s="165" t="s">
        <v>114</v>
      </c>
      <c r="E71" s="130"/>
      <c r="F71" s="147">
        <f>'[4]24 Ванны ароматич'!P50</f>
        <v>1.45</v>
      </c>
      <c r="G71" s="132"/>
      <c r="H71" s="130"/>
      <c r="I71" s="64">
        <f>0*$I$13/110</f>
        <v>0</v>
      </c>
      <c r="J71" s="65">
        <f>1.45*J13/120</f>
        <v>0.24166666666666667</v>
      </c>
      <c r="K71" s="65">
        <f t="shared" si="2"/>
        <v>0.24166666666666667</v>
      </c>
      <c r="L71" s="10"/>
    </row>
    <row r="72" spans="1:12" ht="15.75" x14ac:dyDescent="0.25">
      <c r="A72" s="146"/>
      <c r="B72" s="162"/>
      <c r="C72" s="128"/>
      <c r="D72" s="166" t="s">
        <v>115</v>
      </c>
      <c r="E72" s="130"/>
      <c r="F72" s="147">
        <f>'[4]24 Ванны ароматич'!P51</f>
        <v>1.1200000000000001</v>
      </c>
      <c r="G72" s="132"/>
      <c r="H72" s="130"/>
      <c r="I72" s="64">
        <f>0*$I$13/110</f>
        <v>0</v>
      </c>
      <c r="J72" s="65">
        <f>1.12*J13/120</f>
        <v>0.18666666666666668</v>
      </c>
      <c r="K72" s="65">
        <f t="shared" si="2"/>
        <v>0.18666666666666668</v>
      </c>
      <c r="L72" s="10"/>
    </row>
    <row r="73" spans="1:12" ht="32.1" customHeight="1" x14ac:dyDescent="0.25">
      <c r="A73" s="146"/>
      <c r="B73" s="160" t="str">
        <f>'[4]24 Ванны ароматич'!L52</f>
        <v>Масло эфирное натуральное Бергамот, Розмарин, Грейпфрут, БАННЫЙ ДЕНЬ, Лаванда</v>
      </c>
      <c r="C73" s="128"/>
      <c r="D73" s="166"/>
      <c r="E73" s="130"/>
      <c r="F73" s="147">
        <f>'[4]24 Ванны ароматич'!P52</f>
        <v>1.19</v>
      </c>
      <c r="G73" s="132"/>
      <c r="H73" s="130"/>
      <c r="I73" s="64">
        <f>0*$I$13/110</f>
        <v>0</v>
      </c>
      <c r="J73" s="65">
        <f>1.19*$J$13/120</f>
        <v>0.19833333333333331</v>
      </c>
      <c r="K73" s="65">
        <f t="shared" si="2"/>
        <v>0.19833333333333331</v>
      </c>
      <c r="L73" s="10"/>
    </row>
    <row r="74" spans="1:12" ht="20.100000000000001" customHeight="1" x14ac:dyDescent="0.25">
      <c r="A74" s="146"/>
      <c r="B74" s="167" t="str">
        <f>'[4]24 Ванны ароматич'!L53</f>
        <v>Масло эфирное натуральное Герань</v>
      </c>
      <c r="C74" s="128"/>
      <c r="D74" s="166"/>
      <c r="E74" s="130"/>
      <c r="F74" s="147">
        <f>'[4]24 Ванны ароматич'!P53</f>
        <v>1.21</v>
      </c>
      <c r="G74" s="132"/>
      <c r="H74" s="130"/>
      <c r="I74" s="64">
        <f t="shared" ref="I74:I93" si="3">0*$I$13/110</f>
        <v>0</v>
      </c>
      <c r="J74" s="65">
        <f>1.21*$J$13/120</f>
        <v>0.20166666666666666</v>
      </c>
      <c r="K74" s="65">
        <f t="shared" si="2"/>
        <v>0.20166666666666666</v>
      </c>
      <c r="L74" s="10"/>
    </row>
    <row r="75" spans="1:12" ht="20.100000000000001" customHeight="1" x14ac:dyDescent="0.25">
      <c r="A75" s="146"/>
      <c r="B75" s="167" t="str">
        <f>'[4]24 Ванны ароматич'!L54</f>
        <v xml:space="preserve">Масло эфирное натуральное Иланг-иланг </v>
      </c>
      <c r="C75" s="128"/>
      <c r="D75" s="166"/>
      <c r="E75" s="130"/>
      <c r="F75" s="147">
        <f>'[4]24 Ванны ароматич'!P54</f>
        <v>1.19</v>
      </c>
      <c r="G75" s="132"/>
      <c r="H75" s="130"/>
      <c r="I75" s="64">
        <f t="shared" si="3"/>
        <v>0</v>
      </c>
      <c r="J75" s="65">
        <f>1.19*$J$13/120</f>
        <v>0.19833333333333331</v>
      </c>
      <c r="K75" s="65">
        <f t="shared" si="2"/>
        <v>0.19833333333333331</v>
      </c>
      <c r="L75" s="10"/>
    </row>
    <row r="76" spans="1:12" ht="20.100000000000001" customHeight="1" x14ac:dyDescent="0.25">
      <c r="A76" s="146"/>
      <c r="B76" s="167" t="str">
        <f>'[4]24 Ванны ароматич'!L55</f>
        <v xml:space="preserve">Масло эфирное натуральное  Мандарин, Пихта </v>
      </c>
      <c r="C76" s="128"/>
      <c r="D76" s="166"/>
      <c r="E76" s="130"/>
      <c r="F76" s="147">
        <f>'[4]24 Ванны ароматич'!P55</f>
        <v>1.1100000000000001</v>
      </c>
      <c r="G76" s="132"/>
      <c r="H76" s="130"/>
      <c r="I76" s="64">
        <f t="shared" si="3"/>
        <v>0</v>
      </c>
      <c r="J76" s="65">
        <f>1.11*$J$13/120</f>
        <v>0.18500000000000003</v>
      </c>
      <c r="K76" s="65">
        <f t="shared" si="2"/>
        <v>0.18500000000000003</v>
      </c>
      <c r="L76" s="10"/>
    </row>
    <row r="77" spans="1:12" ht="20.100000000000001" customHeight="1" x14ac:dyDescent="0.25">
      <c r="A77" s="146"/>
      <c r="B77" s="167" t="str">
        <f>'[4]24 Ванны ароматич'!L56</f>
        <v>Масло эфирное натуральное Апельсин, Сосна</v>
      </c>
      <c r="C77" s="128"/>
      <c r="D77" s="166"/>
      <c r="E77" s="130"/>
      <c r="F77" s="147">
        <f>'[4]24 Ванны ароматич'!P56</f>
        <v>1.07</v>
      </c>
      <c r="G77" s="132"/>
      <c r="H77" s="130"/>
      <c r="I77" s="64">
        <f t="shared" si="3"/>
        <v>0</v>
      </c>
      <c r="J77" s="65">
        <f>1.07*$J$13/120</f>
        <v>0.17833333333333334</v>
      </c>
      <c r="K77" s="65">
        <f t="shared" si="2"/>
        <v>0.17833333333333334</v>
      </c>
      <c r="L77" s="10"/>
    </row>
    <row r="78" spans="1:12" ht="20.100000000000001" customHeight="1" x14ac:dyDescent="0.25">
      <c r="A78" s="146"/>
      <c r="B78" s="167" t="str">
        <f>'[4]24 Ванны ароматич'!L57</f>
        <v xml:space="preserve">Масло эфирное натуральное Каяпут </v>
      </c>
      <c r="C78" s="128"/>
      <c r="D78" s="166"/>
      <c r="E78" s="130"/>
      <c r="F78" s="147">
        <f>'[4]24 Ванны ароматич'!P57</f>
        <v>1.03</v>
      </c>
      <c r="G78" s="132"/>
      <c r="H78" s="130"/>
      <c r="I78" s="64">
        <f t="shared" si="3"/>
        <v>0</v>
      </c>
      <c r="J78" s="65">
        <f>1.03*$J$13/120</f>
        <v>0.17166666666666669</v>
      </c>
      <c r="K78" s="65">
        <f t="shared" si="2"/>
        <v>0.17166666666666669</v>
      </c>
      <c r="L78" s="10"/>
    </row>
    <row r="79" spans="1:12" ht="20.100000000000001" customHeight="1" x14ac:dyDescent="0.25">
      <c r="A79" s="146"/>
      <c r="B79" s="167" t="str">
        <f>'[4]24 Ванны ароматич'!L58</f>
        <v xml:space="preserve">Масло эфирное натуральное Кипарис </v>
      </c>
      <c r="C79" s="128"/>
      <c r="D79" s="166"/>
      <c r="E79" s="130"/>
      <c r="F79" s="147">
        <f>'[4]24 Ванны ароматич'!P58</f>
        <v>1.1200000000000001</v>
      </c>
      <c r="G79" s="132"/>
      <c r="H79" s="130"/>
      <c r="I79" s="64">
        <f t="shared" si="3"/>
        <v>0</v>
      </c>
      <c r="J79" s="65">
        <f>1.12*$J$13/120</f>
        <v>0.18666666666666668</v>
      </c>
      <c r="K79" s="65">
        <f t="shared" si="2"/>
        <v>0.18666666666666668</v>
      </c>
      <c r="L79" s="10"/>
    </row>
    <row r="80" spans="1:12" ht="20.100000000000001" customHeight="1" x14ac:dyDescent="0.25">
      <c r="A80" s="146"/>
      <c r="B80" s="167" t="str">
        <f>'[4]24 Ванны ароматич'!L59</f>
        <v>Масло эфирное натуральное Ладан</v>
      </c>
      <c r="C80" s="128"/>
      <c r="D80" s="166"/>
      <c r="E80" s="130"/>
      <c r="F80" s="147">
        <f>'[4]24 Ванны ароматич'!P59</f>
        <v>1.8</v>
      </c>
      <c r="G80" s="132"/>
      <c r="H80" s="130"/>
      <c r="I80" s="64">
        <f t="shared" si="3"/>
        <v>0</v>
      </c>
      <c r="J80" s="65">
        <f>1.8*$J$13/120</f>
        <v>0.3</v>
      </c>
      <c r="K80" s="65">
        <f t="shared" si="2"/>
        <v>0.3</v>
      </c>
      <c r="L80" s="10"/>
    </row>
    <row r="81" spans="1:12" ht="20.100000000000001" customHeight="1" x14ac:dyDescent="0.25">
      <c r="A81" s="146"/>
      <c r="B81" s="167" t="str">
        <f>'[4]24 Ванны ароматич'!L60</f>
        <v>Масло эфирное натуральное Можжевельник</v>
      </c>
      <c r="C81" s="128"/>
      <c r="D81" s="166"/>
      <c r="E81" s="130"/>
      <c r="F81" s="147">
        <f>'[4]24 Ванны ароматич'!P60</f>
        <v>1.06</v>
      </c>
      <c r="G81" s="132"/>
      <c r="H81" s="130"/>
      <c r="I81" s="64">
        <f t="shared" si="3"/>
        <v>0</v>
      </c>
      <c r="J81" s="65">
        <f>1.06*$J$13/120</f>
        <v>0.17666666666666669</v>
      </c>
      <c r="K81" s="65">
        <f t="shared" si="2"/>
        <v>0.17666666666666669</v>
      </c>
      <c r="L81" s="10"/>
    </row>
    <row r="82" spans="1:12" ht="20.100000000000001" customHeight="1" x14ac:dyDescent="0.25">
      <c r="A82" s="146"/>
      <c r="B82" s="167" t="str">
        <f>'[4]24 Ванны ароматич'!L61</f>
        <v>Масло эфирное натуральное Мускатный шалфей</v>
      </c>
      <c r="C82" s="128"/>
      <c r="D82" s="166"/>
      <c r="E82" s="130"/>
      <c r="F82" s="147">
        <f>'[4]24 Ванны ароматич'!P61</f>
        <v>1.45</v>
      </c>
      <c r="G82" s="132"/>
      <c r="H82" s="130"/>
      <c r="I82" s="64">
        <f t="shared" si="3"/>
        <v>0</v>
      </c>
      <c r="J82" s="65">
        <f>1.45*$J$13/120</f>
        <v>0.24166666666666667</v>
      </c>
      <c r="K82" s="65">
        <f t="shared" si="2"/>
        <v>0.24166666666666667</v>
      </c>
      <c r="L82" s="10"/>
    </row>
    <row r="83" spans="1:12" ht="20.100000000000001" customHeight="1" x14ac:dyDescent="0.25">
      <c r="A83" s="146"/>
      <c r="B83" s="167" t="str">
        <f>'[4]24 Ванны ароматич'!L62</f>
        <v>Масло эфирное натуральное МЯТА ПЕРЕЧНАЯ</v>
      </c>
      <c r="C83" s="128"/>
      <c r="D83" s="166"/>
      <c r="E83" s="130"/>
      <c r="F83" s="147">
        <f>'[4]24 Ванны ароматич'!P62</f>
        <v>1.1599999999999999</v>
      </c>
      <c r="G83" s="132"/>
      <c r="H83" s="130"/>
      <c r="I83" s="64">
        <f t="shared" si="3"/>
        <v>0</v>
      </c>
      <c r="J83" s="65">
        <f>1.16*$J$13/120</f>
        <v>0.19333333333333333</v>
      </c>
      <c r="K83" s="65">
        <f t="shared" si="2"/>
        <v>0.19333333333333333</v>
      </c>
      <c r="L83" s="10"/>
    </row>
    <row r="84" spans="1:12" ht="20.100000000000001" customHeight="1" x14ac:dyDescent="0.25">
      <c r="A84" s="146"/>
      <c r="B84" s="167" t="str">
        <f>'[4]24 Ванны ароматич'!L63</f>
        <v xml:space="preserve">Масло эфирное натуральное Пальмароза </v>
      </c>
      <c r="C84" s="128"/>
      <c r="D84" s="166"/>
      <c r="E84" s="130"/>
      <c r="F84" s="147">
        <f>'[4]24 Ванны ароматич'!P63</f>
        <v>1.56</v>
      </c>
      <c r="G84" s="132"/>
      <c r="H84" s="130"/>
      <c r="I84" s="64">
        <f t="shared" si="3"/>
        <v>0</v>
      </c>
      <c r="J84" s="65">
        <f>1.56*$J$13/120</f>
        <v>0.26</v>
      </c>
      <c r="K84" s="65">
        <f t="shared" si="2"/>
        <v>0.26</v>
      </c>
      <c r="L84" s="10"/>
    </row>
    <row r="85" spans="1:12" ht="20.100000000000001" customHeight="1" x14ac:dyDescent="0.25">
      <c r="A85" s="146"/>
      <c r="B85" s="167" t="str">
        <f>'[4]24 Ванны ароматич'!L64</f>
        <v>Масло эфирное натуральное Эвкалипт</v>
      </c>
      <c r="C85" s="128"/>
      <c r="D85" s="166"/>
      <c r="E85" s="130"/>
      <c r="F85" s="147">
        <f>'[4]24 Ванны ароматич'!P64</f>
        <v>1.1499999999999999</v>
      </c>
      <c r="G85" s="132"/>
      <c r="H85" s="130"/>
      <c r="I85" s="64">
        <f t="shared" si="3"/>
        <v>0</v>
      </c>
      <c r="J85" s="65">
        <f>1.15*$J$13/120</f>
        <v>0.19166666666666668</v>
      </c>
      <c r="K85" s="65">
        <f t="shared" si="2"/>
        <v>0.19166666666666668</v>
      </c>
      <c r="L85" s="10"/>
    </row>
    <row r="86" spans="1:12" ht="20.100000000000001" customHeight="1" x14ac:dyDescent="0.25">
      <c r="A86" s="146"/>
      <c r="B86" s="167" t="str">
        <f>'[4]24 Ванны ароматич'!L65</f>
        <v>Масло эфирное натуральное Лемонграсс, Лимон</v>
      </c>
      <c r="C86" s="128"/>
      <c r="D86" s="166"/>
      <c r="E86" s="130"/>
      <c r="F86" s="147">
        <f>'[4]24 Ванны ароматич'!P65</f>
        <v>1.1200000000000001</v>
      </c>
      <c r="G86" s="132"/>
      <c r="H86" s="130"/>
      <c r="I86" s="64">
        <f t="shared" si="3"/>
        <v>0</v>
      </c>
      <c r="J86" s="65">
        <f>1.12*$J$13/120</f>
        <v>0.18666666666666668</v>
      </c>
      <c r="K86" s="65">
        <f t="shared" si="2"/>
        <v>0.18666666666666668</v>
      </c>
      <c r="L86" s="10"/>
    </row>
    <row r="87" spans="1:12" ht="20.100000000000001" customHeight="1" x14ac:dyDescent="0.25">
      <c r="A87" s="146"/>
      <c r="B87" s="167" t="str">
        <f>'[4]24 Ванны ароматич'!L66</f>
        <v>Масло эфирное натуральное Жасмин</v>
      </c>
      <c r="C87" s="128"/>
      <c r="D87" s="166"/>
      <c r="E87" s="130"/>
      <c r="F87" s="147">
        <f>'[4]24 Ванны ароматич'!P66</f>
        <v>1.45</v>
      </c>
      <c r="G87" s="132"/>
      <c r="H87" s="130"/>
      <c r="I87" s="64">
        <f t="shared" si="3"/>
        <v>0</v>
      </c>
      <c r="J87" s="65">
        <f>1.45*$J$13/120</f>
        <v>0.24166666666666667</v>
      </c>
      <c r="K87" s="65">
        <f t="shared" si="2"/>
        <v>0.24166666666666667</v>
      </c>
      <c r="L87" s="10"/>
    </row>
    <row r="88" spans="1:12" ht="20.100000000000001" customHeight="1" x14ac:dyDescent="0.25">
      <c r="A88" s="146"/>
      <c r="B88" s="167" t="str">
        <f>'[4]24 Ванны ароматич'!L67</f>
        <v>Масло эфирное натуральное Фенхель</v>
      </c>
      <c r="C88" s="128"/>
      <c r="D88" s="166"/>
      <c r="E88" s="130"/>
      <c r="F88" s="147">
        <f>'[4]24 Ванны ароматич'!P67</f>
        <v>1.34</v>
      </c>
      <c r="G88" s="132"/>
      <c r="H88" s="130"/>
      <c r="I88" s="64">
        <f t="shared" si="3"/>
        <v>0</v>
      </c>
      <c r="J88" s="65">
        <f>1.34*$J$13/120</f>
        <v>0.22333333333333333</v>
      </c>
      <c r="K88" s="65">
        <f t="shared" si="2"/>
        <v>0.22333333333333333</v>
      </c>
      <c r="L88" s="10"/>
    </row>
    <row r="89" spans="1:12" ht="20.100000000000001" customHeight="1" x14ac:dyDescent="0.25">
      <c r="A89" s="146"/>
      <c r="B89" s="167" t="str">
        <f>'[4]24 Ванны ароматич'!L68</f>
        <v>Масло эфирное натуральное Чайное дерево</v>
      </c>
      <c r="C89" s="128"/>
      <c r="D89" s="166"/>
      <c r="E89" s="130"/>
      <c r="F89" s="147">
        <f>'[4]24 Ванны ароматич'!P68</f>
        <v>1.21</v>
      </c>
      <c r="G89" s="132"/>
      <c r="H89" s="130"/>
      <c r="I89" s="64">
        <f t="shared" si="3"/>
        <v>0</v>
      </c>
      <c r="J89" s="65">
        <f>1.21*$J$13/120</f>
        <v>0.20166666666666666</v>
      </c>
      <c r="K89" s="65">
        <f t="shared" si="2"/>
        <v>0.20166666666666666</v>
      </c>
      <c r="L89" s="10"/>
    </row>
    <row r="90" spans="1:12" ht="20.100000000000001" customHeight="1" x14ac:dyDescent="0.25">
      <c r="A90" s="146"/>
      <c r="B90" s="167" t="str">
        <f>'[4]24 Ванны ароматич'!L69</f>
        <v>Масло эфирное натуральное Петит грейн</v>
      </c>
      <c r="C90" s="128"/>
      <c r="D90" s="166"/>
      <c r="E90" s="130"/>
      <c r="F90" s="147">
        <f>'[4]24 Ванны ароматич'!P69</f>
        <v>1.34</v>
      </c>
      <c r="G90" s="132"/>
      <c r="H90" s="130"/>
      <c r="I90" s="64">
        <f t="shared" si="3"/>
        <v>0</v>
      </c>
      <c r="J90" s="65">
        <f>1.34*$J$13/120</f>
        <v>0.22333333333333333</v>
      </c>
      <c r="K90" s="65">
        <f t="shared" si="2"/>
        <v>0.22333333333333333</v>
      </c>
      <c r="L90" s="10"/>
    </row>
    <row r="91" spans="1:12" ht="21" customHeight="1" x14ac:dyDescent="0.25">
      <c r="A91" s="146"/>
      <c r="B91" s="167" t="str">
        <f>'[4]24 Ванны ароматич'!L70</f>
        <v>Масло эфирное натуральное Ель</v>
      </c>
      <c r="C91" s="128"/>
      <c r="D91" s="166"/>
      <c r="E91" s="130"/>
      <c r="F91" s="147">
        <f>'[4]24 Ванны ароматич'!P70</f>
        <v>1.22</v>
      </c>
      <c r="G91" s="132"/>
      <c r="H91" s="130"/>
      <c r="I91" s="64">
        <f t="shared" si="3"/>
        <v>0</v>
      </c>
      <c r="J91" s="65">
        <f>1.22*$J$13/120</f>
        <v>0.20333333333333331</v>
      </c>
      <c r="K91" s="65">
        <f t="shared" si="2"/>
        <v>0.20333333333333331</v>
      </c>
      <c r="L91" s="10"/>
    </row>
    <row r="92" spans="1:12" ht="16.5" customHeight="1" x14ac:dyDescent="0.25">
      <c r="A92" s="146"/>
      <c r="B92" s="167" t="str">
        <f>'[4]24 Ванны ароматич'!L71</f>
        <v>Масло эфирное натуральное Мелисса</v>
      </c>
      <c r="C92" s="128"/>
      <c r="D92" s="166"/>
      <c r="E92" s="130"/>
      <c r="F92" s="147">
        <f>'[4]24 Ванны ароматич'!P71</f>
        <v>1.24</v>
      </c>
      <c r="G92" s="132"/>
      <c r="H92" s="130"/>
      <c r="I92" s="64">
        <f t="shared" si="3"/>
        <v>0</v>
      </c>
      <c r="J92" s="65">
        <f>1.24*$J$13/120</f>
        <v>0.20666666666666667</v>
      </c>
      <c r="K92" s="65">
        <f t="shared" si="2"/>
        <v>0.20666666666666667</v>
      </c>
      <c r="L92" s="10"/>
    </row>
    <row r="93" spans="1:12" ht="21" customHeight="1" x14ac:dyDescent="0.25">
      <c r="A93" s="146"/>
      <c r="B93" s="167" t="str">
        <f>'[4]24 Ванны ароматич'!L72</f>
        <v>Масло эфирное натуральное Пачули</v>
      </c>
      <c r="C93" s="128"/>
      <c r="D93" s="166"/>
      <c r="E93" s="130"/>
      <c r="F93" s="147">
        <f>'[4]24 Ванны ароматич'!P72</f>
        <v>1.42</v>
      </c>
      <c r="G93" s="132"/>
      <c r="H93" s="130"/>
      <c r="I93" s="64">
        <f t="shared" si="3"/>
        <v>0</v>
      </c>
      <c r="J93" s="65">
        <f>1.42*$J$13/120</f>
        <v>0.23666666666666666</v>
      </c>
      <c r="K93" s="65">
        <f t="shared" si="2"/>
        <v>0.23666666666666666</v>
      </c>
      <c r="L93" s="10"/>
    </row>
    <row r="94" spans="1:12" ht="15.75" x14ac:dyDescent="0.25">
      <c r="A94" s="126" t="s">
        <v>116</v>
      </c>
      <c r="B94" s="162" t="str">
        <f>'[4]25 Ванны вихрев'!A13</f>
        <v>Ванны выхревые, вибрационные</v>
      </c>
      <c r="C94" s="128" t="str">
        <f>$C$16</f>
        <v>процедура</v>
      </c>
      <c r="D94" s="129">
        <f>'[4]Уровень цен'!D49</f>
        <v>5.0199999999999996</v>
      </c>
      <c r="E94" s="130" t="s">
        <v>25</v>
      </c>
      <c r="F94" s="147">
        <f>'[4]25 Ванны вихрев'!P30</f>
        <v>0.78</v>
      </c>
      <c r="G94" s="132">
        <f>'[4]Уровень цен'!E49</f>
        <v>6.75</v>
      </c>
      <c r="H94" s="133" t="s">
        <v>25</v>
      </c>
      <c r="I94" s="64">
        <f>0*$I$13/110</f>
        <v>0</v>
      </c>
      <c r="J94" s="65">
        <f>0.78*$J$13/120</f>
        <v>0.13</v>
      </c>
      <c r="K94" s="65">
        <f t="shared" si="2"/>
        <v>0.13</v>
      </c>
      <c r="L94" s="10"/>
    </row>
    <row r="95" spans="1:12" ht="15.75" x14ac:dyDescent="0.25">
      <c r="A95" s="146" t="s">
        <v>117</v>
      </c>
      <c r="B95" s="162" t="str">
        <f>'[4]26 Ванны жем'!A13</f>
        <v xml:space="preserve">Ванны жемчужные       </v>
      </c>
      <c r="C95" s="128" t="str">
        <f>$C$16</f>
        <v>процедура</v>
      </c>
      <c r="D95" s="129">
        <f>'[4]Уровень цен'!D50</f>
        <v>5.0199999999999996</v>
      </c>
      <c r="E95" s="130" t="s">
        <v>25</v>
      </c>
      <c r="F95" s="147">
        <f>'[4]26 Ванны жем'!P30</f>
        <v>0.78</v>
      </c>
      <c r="G95" s="132">
        <f>'[4]Уровень цен'!E50</f>
        <v>6.75</v>
      </c>
      <c r="H95" s="133" t="s">
        <v>25</v>
      </c>
      <c r="I95" s="64">
        <f>0*$I$13/110</f>
        <v>0</v>
      </c>
      <c r="J95" s="65">
        <f>0.78*$J$13/120</f>
        <v>0.13</v>
      </c>
      <c r="K95" s="65">
        <f t="shared" si="2"/>
        <v>0.13</v>
      </c>
      <c r="L95" s="10"/>
    </row>
    <row r="96" spans="1:12" ht="15.75" x14ac:dyDescent="0.25">
      <c r="A96" s="146" t="s">
        <v>118</v>
      </c>
      <c r="B96" s="162" t="str">
        <f>'[4]39 душ-шарко'!A12</f>
        <v>Душ струевой, контрастный</v>
      </c>
      <c r="C96" s="128" t="str">
        <f>$C$16</f>
        <v>процедура</v>
      </c>
      <c r="D96" s="129">
        <f>'[4]39 душ-шарко'!G27</f>
        <v>6.69</v>
      </c>
      <c r="E96" s="130" t="s">
        <v>25</v>
      </c>
      <c r="F96" s="147">
        <f>'[4]39 душ-шарко'!O28</f>
        <v>1.1000000000000001</v>
      </c>
      <c r="G96" s="132">
        <f>'[4]39 рдуш-шарко'!G27</f>
        <v>8.81</v>
      </c>
      <c r="H96" s="133" t="s">
        <v>25</v>
      </c>
      <c r="I96" s="64">
        <f>0*I13/110</f>
        <v>0</v>
      </c>
      <c r="J96" s="65">
        <f>1.1*J13/120</f>
        <v>0.18333333333333332</v>
      </c>
      <c r="K96" s="65">
        <f t="shared" si="2"/>
        <v>0.18333333333333332</v>
      </c>
      <c r="L96" s="10"/>
    </row>
    <row r="97" spans="1:16" ht="21" customHeight="1" x14ac:dyDescent="0.25">
      <c r="A97" s="156" t="s">
        <v>119</v>
      </c>
      <c r="B97" s="157" t="s">
        <v>120</v>
      </c>
      <c r="C97" s="128"/>
      <c r="D97" s="129"/>
      <c r="E97" s="130"/>
      <c r="F97" s="147"/>
      <c r="G97" s="132"/>
      <c r="H97" s="133"/>
      <c r="I97" s="64"/>
      <c r="J97" s="65"/>
      <c r="K97" s="65"/>
      <c r="L97" s="10"/>
    </row>
    <row r="98" spans="1:16" ht="30" hidden="1" x14ac:dyDescent="0.25">
      <c r="A98" s="146" t="s">
        <v>121</v>
      </c>
      <c r="B98" s="162" t="str">
        <f>'[4]27 Ванны минерал'!A13</f>
        <v xml:space="preserve">Ванны минеральные   (хлоридные, натриевые, йодобромные, бишофитные и другие минералы)    </v>
      </c>
      <c r="C98" s="128" t="str">
        <f>$C$16</f>
        <v>процедура</v>
      </c>
      <c r="D98" s="129">
        <f>'[4]Уровень цен'!D53</f>
        <v>5.03</v>
      </c>
      <c r="E98" s="130" t="s">
        <v>25</v>
      </c>
      <c r="F98" s="147">
        <f>'[4]27 Ванны минерал'!P30</f>
        <v>2.1</v>
      </c>
      <c r="G98" s="132">
        <f>'[4]Уровень цен'!E53</f>
        <v>6.77</v>
      </c>
      <c r="H98" s="133" t="s">
        <v>25</v>
      </c>
      <c r="I98" s="64">
        <f>0*$I$13/110</f>
        <v>0</v>
      </c>
      <c r="J98" s="65">
        <f>2.1*J13/120</f>
        <v>0.35</v>
      </c>
      <c r="K98" s="65">
        <f t="shared" si="2"/>
        <v>0.35</v>
      </c>
      <c r="L98" s="10"/>
      <c r="N98" s="10"/>
      <c r="O98" s="10"/>
      <c r="P98" s="10"/>
    </row>
    <row r="99" spans="1:16" ht="15.75" x14ac:dyDescent="0.25">
      <c r="A99" s="126" t="s">
        <v>121</v>
      </c>
      <c r="B99" s="162" t="str">
        <f>'[4]28 Мин-жем ванны'!A13</f>
        <v xml:space="preserve">Минерально-жемчужные  ванны      </v>
      </c>
      <c r="C99" s="128" t="str">
        <f>$C$16</f>
        <v>процедура</v>
      </c>
      <c r="D99" s="129">
        <f>'[4]Уровень цен'!D54</f>
        <v>6.5</v>
      </c>
      <c r="E99" s="130" t="s">
        <v>25</v>
      </c>
      <c r="F99" s="147">
        <f>'[4]28 Мин-жем ванны'!P30</f>
        <v>2.1</v>
      </c>
      <c r="G99" s="132">
        <f>'[4]Уровень цен'!E54</f>
        <v>9.07</v>
      </c>
      <c r="H99" s="133" t="s">
        <v>25</v>
      </c>
      <c r="I99" s="64">
        <f>0*$I$13/110</f>
        <v>0</v>
      </c>
      <c r="J99" s="65">
        <f>2.1*J13/120</f>
        <v>0.35</v>
      </c>
      <c r="K99" s="65">
        <f t="shared" si="2"/>
        <v>0.35</v>
      </c>
      <c r="L99" s="10"/>
    </row>
    <row r="100" spans="1:16" ht="15.75" x14ac:dyDescent="0.25">
      <c r="A100" s="146" t="s">
        <v>122</v>
      </c>
      <c r="B100" s="162" t="str">
        <f>'[4]29 Лекрств ванны'!A13</f>
        <v xml:space="preserve">Лекарственные ванны,  смешанные ванны  </v>
      </c>
      <c r="C100" s="128" t="str">
        <f>$C$16</f>
        <v>процедура</v>
      </c>
      <c r="D100" s="129">
        <f>'[4]Уровень цен'!D55</f>
        <v>6.5</v>
      </c>
      <c r="E100" s="130" t="s">
        <v>25</v>
      </c>
      <c r="F100" s="159"/>
      <c r="G100" s="132">
        <f>'[4]Уровень цен'!E55</f>
        <v>9.4</v>
      </c>
      <c r="H100" s="133" t="s">
        <v>25</v>
      </c>
      <c r="I100" s="64"/>
      <c r="J100" s="65"/>
      <c r="K100" s="65"/>
      <c r="L100" s="10"/>
    </row>
    <row r="101" spans="1:16" ht="15.75" hidden="1" x14ac:dyDescent="0.25">
      <c r="A101" s="146"/>
      <c r="B101" s="160" t="str">
        <f>'[4]29 Лекрств ванны'!J25</f>
        <v>"Скипофит" "Желтый" скипидарный раствор</v>
      </c>
      <c r="C101" s="128"/>
      <c r="D101" s="168"/>
      <c r="E101" s="169"/>
      <c r="F101" s="170">
        <f>'[4]29 Лекрств ванны'!P60</f>
        <v>0</v>
      </c>
      <c r="G101" s="171"/>
      <c r="H101" s="172"/>
      <c r="I101" s="64"/>
      <c r="J101" s="65"/>
      <c r="K101" s="65">
        <f t="shared" si="2"/>
        <v>0</v>
      </c>
      <c r="L101" s="10"/>
    </row>
    <row r="102" spans="1:16" ht="15.75" hidden="1" x14ac:dyDescent="0.25">
      <c r="A102" s="146"/>
      <c r="B102" s="160" t="str">
        <f>'[4]29 Лекрств ванны'!J26</f>
        <v>Экстракт грязей лечебных сапропелевых</v>
      </c>
      <c r="C102" s="128"/>
      <c r="D102" s="173" t="s">
        <v>114</v>
      </c>
      <c r="E102" s="169"/>
      <c r="F102" s="170">
        <f>'[4]29 Лекрств ванны'!P60</f>
        <v>0</v>
      </c>
      <c r="G102" s="171"/>
      <c r="H102" s="172"/>
      <c r="I102" s="64"/>
      <c r="J102" s="65"/>
      <c r="K102" s="65">
        <f t="shared" si="2"/>
        <v>0</v>
      </c>
      <c r="L102" s="10"/>
    </row>
    <row r="103" spans="1:16" ht="15.75" hidden="1" x14ac:dyDescent="0.25">
      <c r="A103" s="146"/>
      <c r="B103" s="162"/>
      <c r="C103" s="128"/>
      <c r="D103" s="174" t="s">
        <v>115</v>
      </c>
      <c r="E103" s="169"/>
      <c r="F103" s="170">
        <f>'[4]29 Лекрств ванны'!P61</f>
        <v>0</v>
      </c>
      <c r="G103" s="171"/>
      <c r="H103" s="172"/>
      <c r="I103" s="64"/>
      <c r="J103" s="65"/>
      <c r="K103" s="65">
        <f t="shared" si="2"/>
        <v>0</v>
      </c>
      <c r="L103" s="10"/>
    </row>
    <row r="104" spans="1:16" ht="31.5" hidden="1" customHeight="1" x14ac:dyDescent="0.25">
      <c r="A104" s="146"/>
      <c r="B104" s="160" t="str">
        <f>'[4]29 Лекрств ванны'!J28</f>
        <v>Соль морская с эфирным маслом "Иланг-иланг" и натуральным растительным экстрактом "Алоэ"</v>
      </c>
      <c r="C104" s="138"/>
      <c r="D104" s="166"/>
      <c r="E104" s="130"/>
      <c r="F104" s="147">
        <f>'[4]29 Лекрств ванны'!P62</f>
        <v>2.4900000000000002</v>
      </c>
      <c r="G104" s="132"/>
      <c r="H104" s="133"/>
      <c r="I104" s="64">
        <f>0*$I$13/110</f>
        <v>0</v>
      </c>
      <c r="J104" s="65">
        <f>2.48*$J$13/120</f>
        <v>0.41333333333333333</v>
      </c>
      <c r="K104" s="65">
        <f t="shared" si="2"/>
        <v>0.41333333333333333</v>
      </c>
      <c r="L104" s="10"/>
    </row>
    <row r="105" spans="1:16" ht="21.75" customHeight="1" x14ac:dyDescent="0.25">
      <c r="A105" s="146"/>
      <c r="B105" s="160" t="str">
        <f>'[4]29 Лекрств ванны'!J29</f>
        <v>Соль морская сероводородная</v>
      </c>
      <c r="C105" s="128"/>
      <c r="D105" s="166"/>
      <c r="E105" s="130"/>
      <c r="F105" s="147">
        <f>'[4]29 Лекрств ванны'!P63</f>
        <v>2.92</v>
      </c>
      <c r="G105" s="132"/>
      <c r="H105" s="133"/>
      <c r="I105" s="64">
        <f t="shared" ref="I105:I130" si="4">0*$I$13/110</f>
        <v>0</v>
      </c>
      <c r="J105" s="65">
        <f>2.91*$J$13/120</f>
        <v>0.48500000000000004</v>
      </c>
      <c r="K105" s="65">
        <f t="shared" si="2"/>
        <v>0.48500000000000004</v>
      </c>
      <c r="L105" s="10"/>
    </row>
    <row r="106" spans="1:16" ht="32.25" customHeight="1" x14ac:dyDescent="0.25">
      <c r="A106" s="146"/>
      <c r="B106" s="160" t="str">
        <f>'[4]29 Лекрств ванны'!J30</f>
        <v>Соль морская:сухое молоко, экстракт меда и эфирное масло корицы "Рецепт Клеопатры"</v>
      </c>
      <c r="C106" s="128"/>
      <c r="D106" s="166"/>
      <c r="E106" s="130"/>
      <c r="F106" s="147">
        <f>'[4]29 Лекрств ванны'!P64</f>
        <v>3.09</v>
      </c>
      <c r="G106" s="132"/>
      <c r="H106" s="133"/>
      <c r="I106" s="64">
        <f t="shared" si="4"/>
        <v>0</v>
      </c>
      <c r="J106" s="65">
        <f>3.08*$J$13/120</f>
        <v>0.51333333333333331</v>
      </c>
      <c r="K106" s="65">
        <f t="shared" si="2"/>
        <v>0.51333333333333331</v>
      </c>
      <c r="L106" s="10"/>
      <c r="M106" s="175"/>
      <c r="N106" s="175"/>
      <c r="O106" s="175"/>
    </row>
    <row r="107" spans="1:16" ht="19.5" customHeight="1" x14ac:dyDescent="0.25">
      <c r="A107" s="146"/>
      <c r="B107" s="160" t="str">
        <f>'[4]29 Лекрств ванны'!J31</f>
        <v>Соль морская: горький шоколад</v>
      </c>
      <c r="C107" s="128"/>
      <c r="D107" s="166"/>
      <c r="E107" s="130"/>
      <c r="F107" s="147">
        <f>'[4]29 Лекрств ванны'!P65</f>
        <v>4.0599999999999996</v>
      </c>
      <c r="G107" s="132"/>
      <c r="H107" s="133"/>
      <c r="I107" s="64">
        <f t="shared" si="4"/>
        <v>0</v>
      </c>
      <c r="J107" s="65">
        <f>4.05*$J$13/120</f>
        <v>0.67500000000000004</v>
      </c>
      <c r="K107" s="65">
        <f t="shared" si="2"/>
        <v>0.67500000000000004</v>
      </c>
      <c r="L107" s="10"/>
    </row>
    <row r="108" spans="1:16" ht="16.5" hidden="1" customHeight="1" x14ac:dyDescent="0.25">
      <c r="A108" s="146"/>
      <c r="B108" s="160" t="str">
        <f>'[4]29 Лекрств ванны'!J32</f>
        <v>Соль морская: молочный шоколад</v>
      </c>
      <c r="C108" s="128"/>
      <c r="D108" s="166"/>
      <c r="E108" s="130"/>
      <c r="F108" s="147">
        <f>'[4]29 Лекрств ванны'!P66</f>
        <v>3.92</v>
      </c>
      <c r="G108" s="132"/>
      <c r="H108" s="133"/>
      <c r="I108" s="64">
        <f t="shared" si="4"/>
        <v>0</v>
      </c>
      <c r="J108" s="65">
        <f>3.91*$J$13/120</f>
        <v>0.65166666666666673</v>
      </c>
      <c r="K108" s="65">
        <f t="shared" si="2"/>
        <v>0.65166666666666673</v>
      </c>
      <c r="L108" s="10"/>
    </row>
    <row r="109" spans="1:16" ht="21.75" customHeight="1" x14ac:dyDescent="0.25">
      <c r="A109" s="146"/>
      <c r="B109" s="167" t="str">
        <f>'[4]29 Лекрств ванны'!J33</f>
        <v>Соль древнего моря "Бишофит" с ионами серебра</v>
      </c>
      <c r="C109" s="128"/>
      <c r="D109" s="166"/>
      <c r="E109" s="130"/>
      <c r="F109" s="147">
        <f>'[4]29 Лекрств ванны'!P67</f>
        <v>4.6100000000000003</v>
      </c>
      <c r="G109" s="132"/>
      <c r="H109" s="133"/>
      <c r="I109" s="64">
        <f t="shared" si="4"/>
        <v>0</v>
      </c>
      <c r="J109" s="65">
        <f>4.6*$J$13/120</f>
        <v>0.76666666666666672</v>
      </c>
      <c r="K109" s="65">
        <f t="shared" si="2"/>
        <v>0.76666666666666672</v>
      </c>
      <c r="L109" s="10"/>
    </row>
    <row r="110" spans="1:16" ht="33" customHeight="1" x14ac:dyDescent="0.25">
      <c r="A110" s="146"/>
      <c r="B110" s="167" t="str">
        <f>'[4]29 Лекрств ванны'!J38</f>
        <v>Соль морская для ванн с эфирным маслом МОЖЖЕВЕЛЬНИКА и пеной</v>
      </c>
      <c r="C110" s="128"/>
      <c r="D110" s="166"/>
      <c r="E110" s="130"/>
      <c r="F110" s="147">
        <f>'[4]29 Лекрств ванны'!P72</f>
        <v>1.92</v>
      </c>
      <c r="G110" s="132"/>
      <c r="H110" s="133"/>
      <c r="I110" s="64">
        <f t="shared" si="4"/>
        <v>0</v>
      </c>
      <c r="J110" s="65">
        <f>1.91*$J$13/120</f>
        <v>0.3183333333333333</v>
      </c>
      <c r="K110" s="65">
        <f t="shared" si="2"/>
        <v>0.3183333333333333</v>
      </c>
      <c r="L110" s="10"/>
      <c r="M110" s="10"/>
    </row>
    <row r="111" spans="1:16" ht="33" hidden="1" customHeight="1" x14ac:dyDescent="0.25">
      <c r="A111" s="146"/>
      <c r="B111" s="167" t="str">
        <f>'[4]29 Лекрств ванны'!L77</f>
        <v>Соль морская д/в с растительным экстрактом МОЖЖЕВЕЛЬНИКА</v>
      </c>
      <c r="C111" s="128"/>
      <c r="D111" s="166"/>
      <c r="E111" s="130"/>
      <c r="F111" s="147">
        <f>'[4]29 Лекрств ванны'!P77</f>
        <v>2.27</v>
      </c>
      <c r="G111" s="132"/>
      <c r="H111" s="133"/>
      <c r="I111" s="64">
        <f t="shared" si="4"/>
        <v>0</v>
      </c>
      <c r="J111" s="65">
        <f>2.26*$J$13/120</f>
        <v>0.37666666666666665</v>
      </c>
      <c r="K111" s="65">
        <f t="shared" si="2"/>
        <v>0.37666666666666665</v>
      </c>
      <c r="L111" s="10"/>
      <c r="M111" s="10"/>
    </row>
    <row r="112" spans="1:16" ht="30.75" customHeight="1" x14ac:dyDescent="0.25">
      <c r="A112" s="146"/>
      <c r="B112" s="167" t="str">
        <f>'[4]29 Лекрств ванны'!J39</f>
        <v xml:space="preserve">Комплекс для принятия ванн и растираний "Нафталанская нефть" </v>
      </c>
      <c r="C112" s="128"/>
      <c r="D112" s="166"/>
      <c r="E112" s="130"/>
      <c r="F112" s="147">
        <f>'[4]29 Лекрств ванны'!P73</f>
        <v>7.16</v>
      </c>
      <c r="G112" s="132"/>
      <c r="H112" s="133"/>
      <c r="I112" s="64">
        <f t="shared" si="4"/>
        <v>0</v>
      </c>
      <c r="J112" s="65">
        <f>7.15*$J$13/120</f>
        <v>1.1916666666666667</v>
      </c>
      <c r="K112" s="65">
        <f t="shared" si="2"/>
        <v>1.1916666666666667</v>
      </c>
      <c r="L112" s="10"/>
    </row>
    <row r="113" spans="1:13" ht="19.5" customHeight="1" x14ac:dyDescent="0.25">
      <c r="A113" s="146"/>
      <c r="B113" s="167" t="str">
        <f>'[4]29 Лекрств ванны'!J41</f>
        <v>Жидкий концентрат для ванн "КОНСКИЙ КАШТАН"</v>
      </c>
      <c r="C113" s="128"/>
      <c r="D113" s="166"/>
      <c r="E113" s="130"/>
      <c r="F113" s="147">
        <f>'[4]29 Лекрств ванны'!P75</f>
        <v>1.74</v>
      </c>
      <c r="G113" s="132"/>
      <c r="H113" s="133"/>
      <c r="I113" s="64">
        <f t="shared" si="4"/>
        <v>0</v>
      </c>
      <c r="J113" s="65">
        <f>1.73*$J$13/120</f>
        <v>0.28833333333333333</v>
      </c>
      <c r="K113" s="65">
        <f t="shared" ref="K113:K141" si="5">I113+J113</f>
        <v>0.28833333333333333</v>
      </c>
      <c r="L113" s="10"/>
    </row>
    <row r="114" spans="1:13" ht="21.75" customHeight="1" x14ac:dyDescent="0.25">
      <c r="A114" s="146"/>
      <c r="B114" s="167" t="str">
        <f>'[4]29 Лекрств ванны'!J42</f>
        <v>Жидкий концентрат для ванн "РОЗМАРИН"</v>
      </c>
      <c r="C114" s="128"/>
      <c r="D114" s="166"/>
      <c r="E114" s="130"/>
      <c r="F114" s="147">
        <f>'[4]29 Лекрств ванны'!P76</f>
        <v>1.74</v>
      </c>
      <c r="G114" s="132"/>
      <c r="H114" s="133"/>
      <c r="I114" s="64">
        <f t="shared" si="4"/>
        <v>0</v>
      </c>
      <c r="J114" s="65">
        <f>1.73*$J$13/120</f>
        <v>0.28833333333333333</v>
      </c>
      <c r="K114" s="65">
        <f t="shared" si="5"/>
        <v>0.28833333333333333</v>
      </c>
      <c r="L114" s="10"/>
    </row>
    <row r="115" spans="1:13" ht="30.75" customHeight="1" x14ac:dyDescent="0.25">
      <c r="A115" s="146"/>
      <c r="B115" s="167" t="str">
        <f>'[4]29 Лекрств ванны'!J40</f>
        <v>Соль  древнего моря (бишофит) НАТУРАЛЬНАЯ для ванн (сухая)</v>
      </c>
      <c r="C115" s="128"/>
      <c r="D115" s="166"/>
      <c r="E115" s="130"/>
      <c r="F115" s="147">
        <f>'[4]29 Лекрств ванны'!P74</f>
        <v>3.47</v>
      </c>
      <c r="G115" s="132"/>
      <c r="H115" s="133"/>
      <c r="I115" s="64">
        <f t="shared" si="4"/>
        <v>0</v>
      </c>
      <c r="J115" s="65">
        <f>3.46*$J$13/120</f>
        <v>0.57666666666666666</v>
      </c>
      <c r="K115" s="65">
        <f t="shared" si="5"/>
        <v>0.57666666666666666</v>
      </c>
      <c r="L115" s="10"/>
      <c r="M115" s="10"/>
    </row>
    <row r="116" spans="1:13" ht="20.25" customHeight="1" x14ac:dyDescent="0.25">
      <c r="A116" s="146"/>
      <c r="B116" s="160" t="str">
        <f>'[4]29 Лекрств ванны'!J34</f>
        <v>Соль морская д/в ЙОДО-БРОМНАЯ</v>
      </c>
      <c r="C116" s="128"/>
      <c r="D116" s="166"/>
      <c r="E116" s="130"/>
      <c r="F116" s="147">
        <f>'[4]29 Лекрств ванны'!P68</f>
        <v>2.6</v>
      </c>
      <c r="G116" s="132"/>
      <c r="H116" s="133"/>
      <c r="I116" s="64">
        <f t="shared" si="4"/>
        <v>0</v>
      </c>
      <c r="J116" s="65">
        <f>2.59*$J$13/120</f>
        <v>0.43166666666666664</v>
      </c>
      <c r="K116" s="65">
        <f t="shared" si="5"/>
        <v>0.43166666666666664</v>
      </c>
      <c r="L116" s="10"/>
    </row>
    <row r="117" spans="1:13" ht="30.75" hidden="1" customHeight="1" x14ac:dyDescent="0.25">
      <c r="A117" s="146"/>
      <c r="B117" s="160" t="str">
        <f>'[4]29 Лекрств ванны'!J44</f>
        <v>Соль морская д/ванн с растительным экстрактом ЭХИНАЦЕИ ПУРПУРНОЙ</v>
      </c>
      <c r="C117" s="138"/>
      <c r="D117" s="166"/>
      <c r="E117" s="130"/>
      <c r="F117" s="147">
        <f>'[4]29 Лекрств ванны'!P78</f>
        <v>2.56</v>
      </c>
      <c r="G117" s="132"/>
      <c r="H117" s="133"/>
      <c r="I117" s="64">
        <f t="shared" si="4"/>
        <v>0</v>
      </c>
      <c r="J117" s="65">
        <f>2.55*$J$13/120</f>
        <v>0.42499999999999999</v>
      </c>
      <c r="K117" s="65">
        <f t="shared" si="5"/>
        <v>0.42499999999999999</v>
      </c>
      <c r="L117" s="10"/>
    </row>
    <row r="118" spans="1:13" ht="30.75" hidden="1" customHeight="1" x14ac:dyDescent="0.25">
      <c r="A118" s="146"/>
      <c r="B118" s="160" t="str">
        <f>'[4]29 Лекрств ванны'!J45</f>
        <v>Соль морская д/ванн с эфирным маслом ЛАВАНДЫ и растительным экстрактом ФИАЛКИ</v>
      </c>
      <c r="C118" s="138"/>
      <c r="D118" s="166"/>
      <c r="E118" s="130"/>
      <c r="F118" s="147">
        <f>'[4]29 Лекрств ванны'!P79</f>
        <v>2.4900000000000002</v>
      </c>
      <c r="G118" s="132"/>
      <c r="H118" s="133"/>
      <c r="I118" s="64">
        <f t="shared" si="4"/>
        <v>0</v>
      </c>
      <c r="J118" s="65">
        <f>2.48*$J$13/120</f>
        <v>0.41333333333333333</v>
      </c>
      <c r="K118" s="65">
        <f t="shared" si="5"/>
        <v>0.41333333333333333</v>
      </c>
      <c r="L118" s="10"/>
    </row>
    <row r="119" spans="1:13" ht="30.75" customHeight="1" x14ac:dyDescent="0.25">
      <c r="A119" s="146"/>
      <c r="B119" s="160" t="str">
        <f>'[4]29 Лекрств ванны'!J46</f>
        <v>Раствор д/приготовления ванн с экстрактом пант д/женщин</v>
      </c>
      <c r="C119" s="138"/>
      <c r="D119" s="166"/>
      <c r="E119" s="130"/>
      <c r="F119" s="147">
        <f>'[4]29 Лекрств ванны'!P80</f>
        <v>10.66</v>
      </c>
      <c r="G119" s="132"/>
      <c r="H119" s="133"/>
      <c r="I119" s="64">
        <f t="shared" si="4"/>
        <v>0</v>
      </c>
      <c r="J119" s="65">
        <f>10.65*$J$13/120</f>
        <v>1.7749999999999999</v>
      </c>
      <c r="K119" s="65">
        <f t="shared" si="5"/>
        <v>1.7749999999999999</v>
      </c>
      <c r="L119" s="10"/>
    </row>
    <row r="120" spans="1:13" ht="30.75" customHeight="1" x14ac:dyDescent="0.25">
      <c r="A120" s="146"/>
      <c r="B120" s="160" t="str">
        <f>'[4]29 Лекрств ванны'!J47</f>
        <v>Раствор д/приготовления ванн с экстрактом пант д/мужчин</v>
      </c>
      <c r="C120" s="138"/>
      <c r="D120" s="166"/>
      <c r="E120" s="130"/>
      <c r="F120" s="147">
        <f>'[4]29 Лекрств ванны'!P81</f>
        <v>10.66</v>
      </c>
      <c r="G120" s="132"/>
      <c r="H120" s="133"/>
      <c r="I120" s="64">
        <f t="shared" si="4"/>
        <v>0</v>
      </c>
      <c r="J120" s="65">
        <f>10.65*$J$13/120</f>
        <v>1.7749999999999999</v>
      </c>
      <c r="K120" s="65">
        <f t="shared" si="5"/>
        <v>1.7749999999999999</v>
      </c>
      <c r="L120" s="10"/>
    </row>
    <row r="121" spans="1:13" ht="60.75" customHeight="1" x14ac:dyDescent="0.25">
      <c r="A121" s="146"/>
      <c r="B121" s="167" t="str">
        <f>'[4]29 Лекрств ванны'!L82</f>
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</c>
      <c r="C121" s="138"/>
      <c r="D121" s="166"/>
      <c r="E121" s="130"/>
      <c r="F121" s="147">
        <f>'[4]29 Лекрств ванны'!P82</f>
        <v>3.32</v>
      </c>
      <c r="G121" s="132"/>
      <c r="H121" s="133"/>
      <c r="I121" s="64">
        <f t="shared" si="4"/>
        <v>0</v>
      </c>
      <c r="J121" s="65">
        <f>1.36*$J$13/120</f>
        <v>0.22666666666666668</v>
      </c>
      <c r="K121" s="65">
        <f t="shared" si="5"/>
        <v>0.22666666666666668</v>
      </c>
      <c r="L121" s="10"/>
    </row>
    <row r="122" spans="1:13" ht="51" customHeight="1" x14ac:dyDescent="0.25">
      <c r="A122" s="146"/>
      <c r="B122" s="167" t="str">
        <f>'[4]29 Лекрств ванны'!L83</f>
        <v xml:space="preserve">"Скипофит" "Живица" мультиактивный экстракт на основе "Скипофит" "Белая" скипидарная эмульсия для ванн с экстрактом целебных трав </v>
      </c>
      <c r="C122" s="138"/>
      <c r="D122" s="166"/>
      <c r="E122" s="130"/>
      <c r="F122" s="147">
        <f>'[4]29 Лекрств ванны'!P83</f>
        <v>3.32</v>
      </c>
      <c r="G122" s="132"/>
      <c r="H122" s="133"/>
      <c r="I122" s="64">
        <f t="shared" si="4"/>
        <v>0</v>
      </c>
      <c r="J122" s="65">
        <f>1.36*$J$13/120</f>
        <v>0.22666666666666668</v>
      </c>
      <c r="K122" s="65">
        <f t="shared" si="5"/>
        <v>0.22666666666666668</v>
      </c>
      <c r="L122" s="10"/>
    </row>
    <row r="123" spans="1:13" ht="49.5" customHeight="1" x14ac:dyDescent="0.25">
      <c r="A123" s="146"/>
      <c r="B123" s="167" t="str">
        <f>'[4]29 Лекрств ванны'!L86</f>
        <v xml:space="preserve">"Скипофит""Движение" на основе "Скипофит" "Белая" скипидарная эмульсия для ванн с экстрактом целебных трав </v>
      </c>
      <c r="C123" s="138"/>
      <c r="D123" s="166"/>
      <c r="E123" s="130"/>
      <c r="F123" s="147">
        <f>'[4]29 Лекрств ванны'!P86</f>
        <v>3.34</v>
      </c>
      <c r="G123" s="132"/>
      <c r="H123" s="133"/>
      <c r="I123" s="64">
        <f t="shared" si="4"/>
        <v>0</v>
      </c>
      <c r="J123" s="65">
        <f>1.38*$J$13/120</f>
        <v>0.22999999999999998</v>
      </c>
      <c r="K123" s="65">
        <f t="shared" si="5"/>
        <v>0.22999999999999998</v>
      </c>
      <c r="L123" s="10"/>
    </row>
    <row r="124" spans="1:13" ht="45" customHeight="1" x14ac:dyDescent="0.25">
      <c r="A124" s="146"/>
      <c r="B124" s="167" t="str">
        <f>'[4]29 Лекрств ванны'!L87</f>
        <v xml:space="preserve">"Скипофит"" Женский"  на основе "Скипофит" "Белая" скипидарная эмульсия для ванн с экстрактом целебных трав </v>
      </c>
      <c r="C124" s="138"/>
      <c r="D124" s="166"/>
      <c r="E124" s="130"/>
      <c r="F124" s="147">
        <f>'[4]29 Лекрств ванны'!P87</f>
        <v>3.32</v>
      </c>
      <c r="G124" s="132"/>
      <c r="H124" s="133"/>
      <c r="I124" s="64">
        <f t="shared" si="4"/>
        <v>0</v>
      </c>
      <c r="J124" s="65">
        <f>1.36*$J$13/120</f>
        <v>0.22666666666666668</v>
      </c>
      <c r="K124" s="65">
        <f t="shared" si="5"/>
        <v>0.22666666666666668</v>
      </c>
      <c r="L124" s="10"/>
    </row>
    <row r="125" spans="1:13" ht="45" customHeight="1" x14ac:dyDescent="0.25">
      <c r="A125" s="146"/>
      <c r="B125" s="167" t="str">
        <f>'[4]29 Лекрств ванны'!L88</f>
        <v xml:space="preserve">"Скипофит"" Мужской" на основе "Скипофит" "Белая" скипидарная эмульсия для ванн с экстрактом целебных трав </v>
      </c>
      <c r="C125" s="138"/>
      <c r="D125" s="166"/>
      <c r="E125" s="130"/>
      <c r="F125" s="147">
        <f>'[4]29 Лекрств ванны'!P88</f>
        <v>3.32</v>
      </c>
      <c r="G125" s="132"/>
      <c r="H125" s="133"/>
      <c r="I125" s="64">
        <f t="shared" si="4"/>
        <v>0</v>
      </c>
      <c r="J125" s="65">
        <f>1.36*$J$13/120</f>
        <v>0.22666666666666668</v>
      </c>
      <c r="K125" s="65">
        <f t="shared" si="5"/>
        <v>0.22666666666666668</v>
      </c>
      <c r="L125" s="10"/>
    </row>
    <row r="126" spans="1:13" ht="32.25" customHeight="1" x14ac:dyDescent="0.25">
      <c r="A126" s="146"/>
      <c r="B126" s="167" t="str">
        <f>'[4]29 Лекрств ванны'!L84</f>
        <v>"Скипофит" "Желтый" скипидарный раствор для ванн с экстрактом целебных трав</v>
      </c>
      <c r="C126" s="138"/>
      <c r="D126" s="166"/>
      <c r="E126" s="130"/>
      <c r="F126" s="147">
        <f>'[4]29 Лекрств ванны'!P84</f>
        <v>4.3</v>
      </c>
      <c r="G126" s="132"/>
      <c r="H126" s="133"/>
      <c r="I126" s="64">
        <f t="shared" si="4"/>
        <v>0</v>
      </c>
      <c r="J126" s="65">
        <f>4.29*$J$13/120</f>
        <v>0.71499999999999997</v>
      </c>
      <c r="K126" s="65">
        <f t="shared" si="5"/>
        <v>0.71499999999999997</v>
      </c>
      <c r="L126" s="10"/>
    </row>
    <row r="127" spans="1:13" ht="31.5" customHeight="1" x14ac:dyDescent="0.25">
      <c r="A127" s="146"/>
      <c r="B127" s="167" t="str">
        <f>'[4]29 Лекрств ванны'!L85</f>
        <v>"Скипофит" "Белая" скипидарная эмульсия для ванн с экстрактом целебных трав</v>
      </c>
      <c r="C127" s="138"/>
      <c r="D127" s="166"/>
      <c r="E127" s="130"/>
      <c r="F127" s="147">
        <f>'[4]29 Лекрств ванны'!P85</f>
        <v>2.89</v>
      </c>
      <c r="G127" s="132"/>
      <c r="H127" s="133"/>
      <c r="I127" s="64">
        <f t="shared" si="4"/>
        <v>0</v>
      </c>
      <c r="J127" s="65">
        <f>2.88*$J$13/120</f>
        <v>0.47999999999999993</v>
      </c>
      <c r="K127" s="65">
        <f t="shared" si="5"/>
        <v>0.47999999999999993</v>
      </c>
      <c r="L127" s="10"/>
    </row>
    <row r="128" spans="1:13" ht="21" customHeight="1" x14ac:dyDescent="0.25">
      <c r="A128" s="146"/>
      <c r="B128" s="167" t="str">
        <f>'[4]29 Лекрств ванны'!L89</f>
        <v>Раствор для принятия ванн "Дегтярные ванны"</v>
      </c>
      <c r="C128" s="138"/>
      <c r="D128" s="166"/>
      <c r="E128" s="130"/>
      <c r="F128" s="147">
        <f>'[4]29 Лекрств ванны'!P89</f>
        <v>7.94</v>
      </c>
      <c r="G128" s="132"/>
      <c r="H128" s="133"/>
      <c r="I128" s="64">
        <f t="shared" si="4"/>
        <v>0</v>
      </c>
      <c r="J128" s="65">
        <f>7.93*$J$13/120</f>
        <v>1.3216666666666665</v>
      </c>
      <c r="K128" s="65">
        <f t="shared" si="5"/>
        <v>1.3216666666666665</v>
      </c>
      <c r="L128" s="10"/>
    </row>
    <row r="129" spans="1:13" ht="30.75" customHeight="1" x14ac:dyDescent="0.25">
      <c r="A129" s="146"/>
      <c r="B129" s="167" t="str">
        <f>'[4]29 Лекрств ванны'!L90</f>
        <v>Состав ароматический для ванн "Концентрат ЛАВАНДА"</v>
      </c>
      <c r="C129" s="138"/>
      <c r="D129" s="166"/>
      <c r="E129" s="130"/>
      <c r="F129" s="147">
        <f>'[4]29 Лекрств ванны'!P90</f>
        <v>2.14</v>
      </c>
      <c r="G129" s="132"/>
      <c r="H129" s="133"/>
      <c r="I129" s="64">
        <f t="shared" si="4"/>
        <v>0</v>
      </c>
      <c r="J129" s="65">
        <f>2.13*$J$13/120</f>
        <v>0.35499999999999993</v>
      </c>
      <c r="K129" s="65">
        <f t="shared" si="5"/>
        <v>0.35499999999999993</v>
      </c>
      <c r="L129" s="10"/>
    </row>
    <row r="130" spans="1:13" ht="30.75" customHeight="1" x14ac:dyDescent="0.25">
      <c r="A130" s="146"/>
      <c r="B130" s="167" t="str">
        <f>'[4]29 Лекрств ванны'!L91</f>
        <v>Состав ароматический для ванн "Концентрат МЕЛИССА"</v>
      </c>
      <c r="C130" s="138"/>
      <c r="D130" s="166"/>
      <c r="E130" s="130"/>
      <c r="F130" s="147">
        <f>'[4]29 Лекрств ванны'!P91</f>
        <v>2.14</v>
      </c>
      <c r="G130" s="132"/>
      <c r="H130" s="133"/>
      <c r="I130" s="64">
        <f t="shared" si="4"/>
        <v>0</v>
      </c>
      <c r="J130" s="65">
        <f>2.13*$J$13/120</f>
        <v>0.35499999999999993</v>
      </c>
      <c r="K130" s="65">
        <f t="shared" si="5"/>
        <v>0.35499999999999993</v>
      </c>
      <c r="L130" s="10"/>
    </row>
    <row r="131" spans="1:13" ht="18.75" customHeight="1" x14ac:dyDescent="0.25">
      <c r="A131" s="146" t="s">
        <v>123</v>
      </c>
      <c r="B131" s="176" t="str">
        <f>'[4]43 Углекислые ванны'!A13</f>
        <v>Суховоздушные радоновые или углекислые ванны</v>
      </c>
      <c r="C131" s="128" t="str">
        <f>$C$16</f>
        <v>процедура</v>
      </c>
      <c r="D131" s="177">
        <f>'[4]43 Углекислые ванны'!G29</f>
        <v>7.16</v>
      </c>
      <c r="E131" s="130" t="s">
        <v>25</v>
      </c>
      <c r="F131" s="147">
        <f>'[4]43 Углекислые ванны'!P28</f>
        <v>0.89</v>
      </c>
      <c r="G131" s="132">
        <f>'[4]43р Углекислые ванны'!G29</f>
        <v>11.13</v>
      </c>
      <c r="H131" s="133" t="s">
        <v>25</v>
      </c>
      <c r="I131" s="64">
        <f>0.54*I13/110</f>
        <v>4.9090909090909095E-2</v>
      </c>
      <c r="J131" s="65">
        <f>0.35*J13/120</f>
        <v>5.8333333333333334E-2</v>
      </c>
      <c r="K131" s="65">
        <f t="shared" si="5"/>
        <v>0.10742424242424242</v>
      </c>
      <c r="L131" s="10"/>
    </row>
    <row r="132" spans="1:13" ht="21" customHeight="1" x14ac:dyDescent="0.25">
      <c r="A132" s="156" t="s">
        <v>124</v>
      </c>
      <c r="B132" s="157" t="s">
        <v>125</v>
      </c>
      <c r="C132" s="138"/>
      <c r="D132" s="129"/>
      <c r="E132" s="130"/>
      <c r="F132" s="147"/>
      <c r="G132" s="132"/>
      <c r="H132" s="133"/>
      <c r="I132" s="64"/>
      <c r="J132" s="65"/>
      <c r="K132" s="65"/>
      <c r="L132" s="10"/>
    </row>
    <row r="133" spans="1:13" ht="15.75" x14ac:dyDescent="0.25">
      <c r="A133" s="146" t="s">
        <v>126</v>
      </c>
      <c r="B133" s="162" t="str">
        <f>'[4]30 Парафин аппликац'!A13</f>
        <v xml:space="preserve">Парафиновые,  озокеритовые  аппликации  </v>
      </c>
      <c r="C133" s="128" t="str">
        <f>$C$16</f>
        <v>процедура</v>
      </c>
      <c r="D133" s="129">
        <f>'[4]Уровень цен'!D58</f>
        <v>6.58</v>
      </c>
      <c r="E133" s="130" t="s">
        <v>25</v>
      </c>
      <c r="F133" s="147">
        <f>'[4]30 Парафин аппликац'!P31</f>
        <v>0.14000000000000001</v>
      </c>
      <c r="G133" s="132">
        <f>'[4]Уровень цен'!E58</f>
        <v>9.0500000000000007</v>
      </c>
      <c r="H133" s="133" t="s">
        <v>25</v>
      </c>
      <c r="I133" s="64">
        <f>0.14*I13/110</f>
        <v>1.2727272727272728E-2</v>
      </c>
      <c r="J133" s="65"/>
      <c r="K133" s="65">
        <f t="shared" si="5"/>
        <v>1.2727272727272728E-2</v>
      </c>
      <c r="L133" s="10"/>
    </row>
    <row r="134" spans="1:13" ht="15.75" x14ac:dyDescent="0.2">
      <c r="A134" s="178" t="s">
        <v>127</v>
      </c>
      <c r="B134" s="179" t="s">
        <v>128</v>
      </c>
      <c r="C134" s="128"/>
      <c r="D134" s="129"/>
      <c r="E134" s="130"/>
      <c r="F134" s="147"/>
      <c r="G134" s="132"/>
      <c r="H134" s="133"/>
      <c r="I134" s="64"/>
      <c r="J134" s="65"/>
      <c r="K134" s="65"/>
      <c r="L134" s="10"/>
    </row>
    <row r="135" spans="1:13" ht="15.75" x14ac:dyDescent="0.25">
      <c r="A135" s="126" t="s">
        <v>129</v>
      </c>
      <c r="B135" s="162" t="str">
        <f>'[4]31 Сапроп апплик 1 зона'!A13</f>
        <v xml:space="preserve">Аппликация    сапропелевой грязи  местная (1 зона) </v>
      </c>
      <c r="C135" s="128" t="str">
        <f>$C$16</f>
        <v>процедура</v>
      </c>
      <c r="D135" s="129">
        <f>'[4]Уровень цен'!D60</f>
        <v>8.2799999999999994</v>
      </c>
      <c r="E135" s="130" t="s">
        <v>25</v>
      </c>
      <c r="F135" s="147">
        <f>'[4]31 Сапроп апплик 1 зона'!P31</f>
        <v>0.18</v>
      </c>
      <c r="G135" s="132">
        <f>'[4]Уровень цен'!E60</f>
        <v>12.07</v>
      </c>
      <c r="H135" s="133" t="s">
        <v>25</v>
      </c>
      <c r="I135" s="64">
        <f>0*$I$13/110</f>
        <v>0</v>
      </c>
      <c r="J135" s="65"/>
      <c r="K135" s="65">
        <f t="shared" si="5"/>
        <v>0</v>
      </c>
      <c r="L135" s="10"/>
    </row>
    <row r="136" spans="1:13" s="186" customFormat="1" ht="0.75" customHeight="1" x14ac:dyDescent="0.25">
      <c r="A136" s="149" t="s">
        <v>130</v>
      </c>
      <c r="B136" s="180" t="str">
        <f>'[4]32 Внутриполос грязел'!A12</f>
        <v xml:space="preserve">Грязелечение  внутриполостное  </v>
      </c>
      <c r="C136" s="150" t="str">
        <f>$C$16</f>
        <v>процедура</v>
      </c>
      <c r="D136" s="181">
        <f>'[4]32 Внутриполос грязел'!M29</f>
        <v>0</v>
      </c>
      <c r="E136" s="169" t="s">
        <v>25</v>
      </c>
      <c r="F136" s="182">
        <f>'[4]32 Внутриполос грязел'!V29</f>
        <v>0</v>
      </c>
      <c r="G136" s="183">
        <f>'[4]23р'!M40</f>
        <v>0</v>
      </c>
      <c r="H136" s="172" t="s">
        <v>25</v>
      </c>
      <c r="I136" s="64">
        <f>F136*$I$13/100</f>
        <v>0</v>
      </c>
      <c r="J136" s="184"/>
      <c r="K136" s="65">
        <f t="shared" si="5"/>
        <v>0</v>
      </c>
      <c r="L136" s="185"/>
    </row>
    <row r="137" spans="1:13" s="186" customFormat="1" ht="22.5" hidden="1" customHeight="1" x14ac:dyDescent="0.25">
      <c r="A137" s="187" t="s">
        <v>130</v>
      </c>
      <c r="B137" s="188" t="str">
        <f>[5]прейскурант!$B$24</f>
        <v>Аппликация сапропелевой грязи общая</v>
      </c>
      <c r="C137" s="189" t="str">
        <f>$C$16</f>
        <v>процедура</v>
      </c>
      <c r="D137" s="129">
        <f>'[4]47 грязь общая'!G29</f>
        <v>8.02</v>
      </c>
      <c r="E137" s="130" t="s">
        <v>25</v>
      </c>
      <c r="F137" s="190">
        <f>'[4]47 грязь общая'!P29</f>
        <v>24</v>
      </c>
      <c r="G137" s="129">
        <f>'[4]47ро грязь общая'!G29</f>
        <v>10.16</v>
      </c>
      <c r="H137" s="133" t="s">
        <v>25</v>
      </c>
      <c r="I137" s="64">
        <f>0*I13/110</f>
        <v>0</v>
      </c>
      <c r="J137" s="65">
        <f>0*J13/120</f>
        <v>0</v>
      </c>
      <c r="K137" s="65">
        <f t="shared" si="5"/>
        <v>0</v>
      </c>
      <c r="L137" s="191"/>
    </row>
    <row r="138" spans="1:13" ht="31.5" customHeight="1" x14ac:dyDescent="0.25">
      <c r="A138" s="178" t="s">
        <v>131</v>
      </c>
      <c r="B138" s="188" t="str">
        <f>'[4]33 Электрогряз'!A13</f>
        <v xml:space="preserve">Электрогрязевая  процедура с  применением  постоянного или   импульсного токов </v>
      </c>
      <c r="C138" s="128" t="str">
        <f>$C$16</f>
        <v>процедура</v>
      </c>
      <c r="D138" s="129">
        <f>'[4]Уровень цен'!D63</f>
        <v>6.58</v>
      </c>
      <c r="E138" s="130" t="s">
        <v>25</v>
      </c>
      <c r="F138" s="192">
        <f>'[4]33 Электрогряз'!P31</f>
        <v>7.7</v>
      </c>
      <c r="G138" s="129">
        <f>'[4]Уровень цен'!E63</f>
        <v>9.0500000000000007</v>
      </c>
      <c r="H138" s="133" t="s">
        <v>25</v>
      </c>
      <c r="I138" s="64">
        <f>0*$I$13/110</f>
        <v>0</v>
      </c>
      <c r="J138" s="65"/>
      <c r="K138" s="65">
        <f t="shared" si="5"/>
        <v>0</v>
      </c>
      <c r="L138" s="10"/>
    </row>
    <row r="139" spans="1:13" ht="15.75" x14ac:dyDescent="0.25">
      <c r="A139" s="193" t="s">
        <v>132</v>
      </c>
      <c r="B139" s="188" t="str">
        <f>'[4]34 Сауна'!A12</f>
        <v>Сауна (до 5 человек)   на 1,5 час</v>
      </c>
      <c r="C139" s="128" t="str">
        <f>$C$16</f>
        <v>процедура</v>
      </c>
      <c r="D139" s="129">
        <f>'[4]34 Сауна'!G29</f>
        <v>30.43</v>
      </c>
      <c r="E139" s="130" t="s">
        <v>25</v>
      </c>
      <c r="F139" s="192">
        <f>'[4]34 Сауна'!P23</f>
        <v>0</v>
      </c>
      <c r="G139" s="129">
        <f>'[4]Уровень цен'!E64</f>
        <v>54.78</v>
      </c>
      <c r="H139" s="133" t="s">
        <v>25</v>
      </c>
      <c r="I139" s="64">
        <f>0*$I$13/110</f>
        <v>0</v>
      </c>
      <c r="J139" s="65"/>
      <c r="K139" s="65">
        <f t="shared" si="5"/>
        <v>0</v>
      </c>
      <c r="L139" s="10"/>
    </row>
    <row r="140" spans="1:13" ht="20.25" customHeight="1" x14ac:dyDescent="0.25">
      <c r="A140" s="193"/>
      <c r="B140" s="194" t="s">
        <v>133</v>
      </c>
      <c r="C140" s="195"/>
      <c r="D140" s="129">
        <f>'[4]34 Сауна'!G30</f>
        <v>6.09</v>
      </c>
      <c r="E140" s="133" t="s">
        <v>25</v>
      </c>
      <c r="F140" s="192">
        <f>'[4]34 Сауна'!P23/5</f>
        <v>0</v>
      </c>
      <c r="G140" s="129">
        <f>'[4]34р'!G29</f>
        <v>10.96</v>
      </c>
      <c r="H140" s="133" t="s">
        <v>25</v>
      </c>
      <c r="I140" s="64">
        <f>0*$I$13/110</f>
        <v>0</v>
      </c>
      <c r="J140" s="65"/>
      <c r="K140" s="65">
        <f t="shared" si="5"/>
        <v>0</v>
      </c>
      <c r="L140" s="10"/>
      <c r="M140" s="10"/>
    </row>
    <row r="141" spans="1:13" ht="20.25" customHeight="1" thickBot="1" x14ac:dyDescent="0.3">
      <c r="A141" s="196" t="s">
        <v>134</v>
      </c>
      <c r="B141" s="197" t="str">
        <f>[5]прейскурант!$B$25</f>
        <v>Ванны грязеразводные</v>
      </c>
      <c r="C141" s="198" t="str">
        <f>$C$16</f>
        <v>процедура</v>
      </c>
      <c r="D141" s="199">
        <f>'[4]48 ванны гряз.'!G29</f>
        <v>8.2100000000000009</v>
      </c>
      <c r="E141" s="200" t="s">
        <v>25</v>
      </c>
      <c r="F141" s="201">
        <f>'[4]48 ванны гряз.'!P29</f>
        <v>24.87</v>
      </c>
      <c r="G141" s="202">
        <f>'[4]48р ванны гряз.'!G29</f>
        <v>10.39</v>
      </c>
      <c r="H141" s="200" t="s">
        <v>25</v>
      </c>
      <c r="I141" s="65">
        <f>0*I13/110</f>
        <v>0</v>
      </c>
      <c r="J141" s="65">
        <f>0.87*J13/120</f>
        <v>0.14499999999999999</v>
      </c>
      <c r="K141" s="65">
        <f t="shared" si="5"/>
        <v>0.14499999999999999</v>
      </c>
      <c r="L141" s="10"/>
      <c r="M141" s="10"/>
    </row>
    <row r="142" spans="1:13" ht="7.5" customHeight="1" x14ac:dyDescent="0.25">
      <c r="B142" s="87"/>
      <c r="C142" s="10"/>
      <c r="D142" s="10"/>
      <c r="E142" s="10"/>
      <c r="F142" s="10"/>
      <c r="G142" s="10"/>
      <c r="H142" s="10"/>
    </row>
    <row r="143" spans="1:13" ht="21" customHeight="1" x14ac:dyDescent="0.25">
      <c r="A143" s="10" t="s">
        <v>135</v>
      </c>
      <c r="B143" s="10"/>
      <c r="C143" s="10"/>
      <c r="D143" s="10"/>
      <c r="E143" s="10"/>
      <c r="G143" s="113" t="s">
        <v>56</v>
      </c>
      <c r="H143" s="10"/>
    </row>
    <row r="144" spans="1:13" ht="21" customHeight="1" x14ac:dyDescent="0.25">
      <c r="A144" s="10"/>
      <c r="B144" s="10"/>
      <c r="C144" s="10"/>
      <c r="D144" s="10"/>
      <c r="E144" s="10"/>
      <c r="G144" s="113"/>
      <c r="H144" s="10"/>
    </row>
    <row r="145" spans="1:8" ht="16.7" customHeight="1" x14ac:dyDescent="0.25">
      <c r="A145" s="10" t="s">
        <v>136</v>
      </c>
      <c r="B145" s="10"/>
      <c r="C145" s="10"/>
      <c r="D145" s="10"/>
      <c r="E145" s="10"/>
      <c r="G145" s="113" t="s">
        <v>58</v>
      </c>
      <c r="H145" s="10"/>
    </row>
    <row r="146" spans="1:8" ht="16.7" customHeight="1" x14ac:dyDescent="0.25">
      <c r="A146" s="10"/>
      <c r="B146" s="10"/>
      <c r="C146" s="10"/>
      <c r="D146" s="10"/>
      <c r="E146" s="10"/>
      <c r="G146" s="113"/>
      <c r="H146" s="10"/>
    </row>
    <row r="147" spans="1:8" ht="15.75" customHeight="1" x14ac:dyDescent="0.25">
      <c r="A147" s="10" t="s">
        <v>85</v>
      </c>
      <c r="B147" s="10"/>
      <c r="C147" s="10"/>
      <c r="D147" s="10"/>
      <c r="E147" s="10"/>
      <c r="G147" s="113" t="s">
        <v>60</v>
      </c>
      <c r="H147" s="10"/>
    </row>
    <row r="148" spans="1:8" ht="17.25" hidden="1" customHeight="1" x14ac:dyDescent="0.25">
      <c r="A148" s="10" t="s">
        <v>61</v>
      </c>
      <c r="B148" s="10"/>
      <c r="C148" s="10"/>
      <c r="D148" s="10"/>
      <c r="E148" s="10"/>
      <c r="F148" s="10"/>
      <c r="G148" s="10"/>
      <c r="H148" s="10"/>
    </row>
    <row r="149" spans="1:8" ht="17.25" hidden="1" customHeight="1" x14ac:dyDescent="0.25">
      <c r="A149" s="10" t="s">
        <v>62</v>
      </c>
      <c r="B149" s="10"/>
      <c r="C149" s="10"/>
      <c r="D149" s="10"/>
      <c r="E149" s="10"/>
      <c r="F149" s="10"/>
      <c r="G149" s="10"/>
      <c r="H149" s="10"/>
    </row>
    <row r="150" spans="1:8" hidden="1" x14ac:dyDescent="0.25">
      <c r="A150" s="10" t="s">
        <v>63</v>
      </c>
      <c r="B150" s="10"/>
      <c r="C150" s="10"/>
      <c r="D150" s="10"/>
      <c r="E150" s="10"/>
      <c r="F150" s="10"/>
      <c r="G150" s="10"/>
      <c r="H150" s="10"/>
    </row>
    <row r="151" spans="1:8" x14ac:dyDescent="0.25">
      <c r="A151" s="10"/>
      <c r="B151" s="87"/>
      <c r="C151" s="10"/>
      <c r="D151" s="10"/>
      <c r="E151" s="10"/>
      <c r="F151" s="10"/>
      <c r="G151" s="10"/>
      <c r="H151" s="10"/>
    </row>
    <row r="152" spans="1:8" x14ac:dyDescent="0.25">
      <c r="A152" s="10"/>
      <c r="B152" s="87"/>
      <c r="C152" s="10"/>
      <c r="D152" s="10"/>
      <c r="E152" s="10"/>
      <c r="F152" s="10"/>
      <c r="G152" s="10"/>
      <c r="H152" s="10"/>
    </row>
    <row r="153" spans="1:8" x14ac:dyDescent="0.25">
      <c r="B153" s="20"/>
    </row>
    <row r="156" spans="1:8" x14ac:dyDescent="0.25">
      <c r="B156" s="20"/>
    </row>
    <row r="157" spans="1:8" x14ac:dyDescent="0.25">
      <c r="B157" s="20"/>
    </row>
    <row r="158" spans="1:8" x14ac:dyDescent="0.25">
      <c r="B158" s="20"/>
    </row>
  </sheetData>
  <mergeCells count="13">
    <mergeCell ref="G12:H12"/>
    <mergeCell ref="I12:K12"/>
    <mergeCell ref="A14:H14"/>
    <mergeCell ref="E3:G3"/>
    <mergeCell ref="A7:H7"/>
    <mergeCell ref="A8:H8"/>
    <mergeCell ref="A9:H9"/>
    <mergeCell ref="A10:H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sqref="A1:XFD1048576"/>
    </sheetView>
  </sheetViews>
  <sheetFormatPr defaultRowHeight="15" x14ac:dyDescent="0.25"/>
  <cols>
    <col min="1" max="1" width="6.42578125" style="3" customWidth="1"/>
    <col min="2" max="2" width="45.42578125" style="3" customWidth="1"/>
    <col min="3" max="3" width="9.5703125" style="3" customWidth="1"/>
    <col min="4" max="4" width="15.140625" style="3" customWidth="1"/>
    <col min="5" max="5" width="11.140625" style="3" customWidth="1"/>
    <col min="6" max="6" width="18.140625" style="3" customWidth="1"/>
    <col min="7" max="7" width="12.7109375" style="3" customWidth="1"/>
    <col min="8" max="256" width="9.140625" style="3"/>
    <col min="257" max="257" width="6.42578125" style="3" customWidth="1"/>
    <col min="258" max="258" width="45.42578125" style="3" customWidth="1"/>
    <col min="259" max="259" width="9.5703125" style="3" customWidth="1"/>
    <col min="260" max="260" width="15.140625" style="3" customWidth="1"/>
    <col min="261" max="261" width="11.140625" style="3" customWidth="1"/>
    <col min="262" max="262" width="18.140625" style="3" customWidth="1"/>
    <col min="263" max="263" width="12.7109375" style="3" customWidth="1"/>
    <col min="264" max="512" width="9.140625" style="3"/>
    <col min="513" max="513" width="6.42578125" style="3" customWidth="1"/>
    <col min="514" max="514" width="45.42578125" style="3" customWidth="1"/>
    <col min="515" max="515" width="9.5703125" style="3" customWidth="1"/>
    <col min="516" max="516" width="15.140625" style="3" customWidth="1"/>
    <col min="517" max="517" width="11.140625" style="3" customWidth="1"/>
    <col min="518" max="518" width="18.140625" style="3" customWidth="1"/>
    <col min="519" max="519" width="12.7109375" style="3" customWidth="1"/>
    <col min="520" max="768" width="9.140625" style="3"/>
    <col min="769" max="769" width="6.42578125" style="3" customWidth="1"/>
    <col min="770" max="770" width="45.42578125" style="3" customWidth="1"/>
    <col min="771" max="771" width="9.5703125" style="3" customWidth="1"/>
    <col min="772" max="772" width="15.140625" style="3" customWidth="1"/>
    <col min="773" max="773" width="11.140625" style="3" customWidth="1"/>
    <col min="774" max="774" width="18.140625" style="3" customWidth="1"/>
    <col min="775" max="775" width="12.7109375" style="3" customWidth="1"/>
    <col min="776" max="1024" width="9.140625" style="3"/>
    <col min="1025" max="1025" width="6.42578125" style="3" customWidth="1"/>
    <col min="1026" max="1026" width="45.42578125" style="3" customWidth="1"/>
    <col min="1027" max="1027" width="9.5703125" style="3" customWidth="1"/>
    <col min="1028" max="1028" width="15.140625" style="3" customWidth="1"/>
    <col min="1029" max="1029" width="11.140625" style="3" customWidth="1"/>
    <col min="1030" max="1030" width="18.140625" style="3" customWidth="1"/>
    <col min="1031" max="1031" width="12.7109375" style="3" customWidth="1"/>
    <col min="1032" max="1280" width="9.140625" style="3"/>
    <col min="1281" max="1281" width="6.42578125" style="3" customWidth="1"/>
    <col min="1282" max="1282" width="45.42578125" style="3" customWidth="1"/>
    <col min="1283" max="1283" width="9.5703125" style="3" customWidth="1"/>
    <col min="1284" max="1284" width="15.140625" style="3" customWidth="1"/>
    <col min="1285" max="1285" width="11.140625" style="3" customWidth="1"/>
    <col min="1286" max="1286" width="18.140625" style="3" customWidth="1"/>
    <col min="1287" max="1287" width="12.7109375" style="3" customWidth="1"/>
    <col min="1288" max="1536" width="9.140625" style="3"/>
    <col min="1537" max="1537" width="6.42578125" style="3" customWidth="1"/>
    <col min="1538" max="1538" width="45.42578125" style="3" customWidth="1"/>
    <col min="1539" max="1539" width="9.5703125" style="3" customWidth="1"/>
    <col min="1540" max="1540" width="15.140625" style="3" customWidth="1"/>
    <col min="1541" max="1541" width="11.140625" style="3" customWidth="1"/>
    <col min="1542" max="1542" width="18.140625" style="3" customWidth="1"/>
    <col min="1543" max="1543" width="12.7109375" style="3" customWidth="1"/>
    <col min="1544" max="1792" width="9.140625" style="3"/>
    <col min="1793" max="1793" width="6.42578125" style="3" customWidth="1"/>
    <col min="1794" max="1794" width="45.42578125" style="3" customWidth="1"/>
    <col min="1795" max="1795" width="9.5703125" style="3" customWidth="1"/>
    <col min="1796" max="1796" width="15.140625" style="3" customWidth="1"/>
    <col min="1797" max="1797" width="11.140625" style="3" customWidth="1"/>
    <col min="1798" max="1798" width="18.140625" style="3" customWidth="1"/>
    <col min="1799" max="1799" width="12.7109375" style="3" customWidth="1"/>
    <col min="1800" max="2048" width="9.140625" style="3"/>
    <col min="2049" max="2049" width="6.42578125" style="3" customWidth="1"/>
    <col min="2050" max="2050" width="45.42578125" style="3" customWidth="1"/>
    <col min="2051" max="2051" width="9.5703125" style="3" customWidth="1"/>
    <col min="2052" max="2052" width="15.140625" style="3" customWidth="1"/>
    <col min="2053" max="2053" width="11.140625" style="3" customWidth="1"/>
    <col min="2054" max="2054" width="18.140625" style="3" customWidth="1"/>
    <col min="2055" max="2055" width="12.7109375" style="3" customWidth="1"/>
    <col min="2056" max="2304" width="9.140625" style="3"/>
    <col min="2305" max="2305" width="6.42578125" style="3" customWidth="1"/>
    <col min="2306" max="2306" width="45.42578125" style="3" customWidth="1"/>
    <col min="2307" max="2307" width="9.5703125" style="3" customWidth="1"/>
    <col min="2308" max="2308" width="15.140625" style="3" customWidth="1"/>
    <col min="2309" max="2309" width="11.140625" style="3" customWidth="1"/>
    <col min="2310" max="2310" width="18.140625" style="3" customWidth="1"/>
    <col min="2311" max="2311" width="12.7109375" style="3" customWidth="1"/>
    <col min="2312" max="2560" width="9.140625" style="3"/>
    <col min="2561" max="2561" width="6.42578125" style="3" customWidth="1"/>
    <col min="2562" max="2562" width="45.42578125" style="3" customWidth="1"/>
    <col min="2563" max="2563" width="9.5703125" style="3" customWidth="1"/>
    <col min="2564" max="2564" width="15.140625" style="3" customWidth="1"/>
    <col min="2565" max="2565" width="11.140625" style="3" customWidth="1"/>
    <col min="2566" max="2566" width="18.140625" style="3" customWidth="1"/>
    <col min="2567" max="2567" width="12.7109375" style="3" customWidth="1"/>
    <col min="2568" max="2816" width="9.140625" style="3"/>
    <col min="2817" max="2817" width="6.42578125" style="3" customWidth="1"/>
    <col min="2818" max="2818" width="45.42578125" style="3" customWidth="1"/>
    <col min="2819" max="2819" width="9.5703125" style="3" customWidth="1"/>
    <col min="2820" max="2820" width="15.140625" style="3" customWidth="1"/>
    <col min="2821" max="2821" width="11.140625" style="3" customWidth="1"/>
    <col min="2822" max="2822" width="18.140625" style="3" customWidth="1"/>
    <col min="2823" max="2823" width="12.7109375" style="3" customWidth="1"/>
    <col min="2824" max="3072" width="9.140625" style="3"/>
    <col min="3073" max="3073" width="6.42578125" style="3" customWidth="1"/>
    <col min="3074" max="3074" width="45.42578125" style="3" customWidth="1"/>
    <col min="3075" max="3075" width="9.5703125" style="3" customWidth="1"/>
    <col min="3076" max="3076" width="15.140625" style="3" customWidth="1"/>
    <col min="3077" max="3077" width="11.140625" style="3" customWidth="1"/>
    <col min="3078" max="3078" width="18.140625" style="3" customWidth="1"/>
    <col min="3079" max="3079" width="12.7109375" style="3" customWidth="1"/>
    <col min="3080" max="3328" width="9.140625" style="3"/>
    <col min="3329" max="3329" width="6.42578125" style="3" customWidth="1"/>
    <col min="3330" max="3330" width="45.42578125" style="3" customWidth="1"/>
    <col min="3331" max="3331" width="9.5703125" style="3" customWidth="1"/>
    <col min="3332" max="3332" width="15.140625" style="3" customWidth="1"/>
    <col min="3333" max="3333" width="11.140625" style="3" customWidth="1"/>
    <col min="3334" max="3334" width="18.140625" style="3" customWidth="1"/>
    <col min="3335" max="3335" width="12.7109375" style="3" customWidth="1"/>
    <col min="3336" max="3584" width="9.140625" style="3"/>
    <col min="3585" max="3585" width="6.42578125" style="3" customWidth="1"/>
    <col min="3586" max="3586" width="45.42578125" style="3" customWidth="1"/>
    <col min="3587" max="3587" width="9.5703125" style="3" customWidth="1"/>
    <col min="3588" max="3588" width="15.140625" style="3" customWidth="1"/>
    <col min="3589" max="3589" width="11.140625" style="3" customWidth="1"/>
    <col min="3590" max="3590" width="18.140625" style="3" customWidth="1"/>
    <col min="3591" max="3591" width="12.7109375" style="3" customWidth="1"/>
    <col min="3592" max="3840" width="9.140625" style="3"/>
    <col min="3841" max="3841" width="6.42578125" style="3" customWidth="1"/>
    <col min="3842" max="3842" width="45.42578125" style="3" customWidth="1"/>
    <col min="3843" max="3843" width="9.5703125" style="3" customWidth="1"/>
    <col min="3844" max="3844" width="15.140625" style="3" customWidth="1"/>
    <col min="3845" max="3845" width="11.140625" style="3" customWidth="1"/>
    <col min="3846" max="3846" width="18.140625" style="3" customWidth="1"/>
    <col min="3847" max="3847" width="12.7109375" style="3" customWidth="1"/>
    <col min="3848" max="4096" width="9.140625" style="3"/>
    <col min="4097" max="4097" width="6.42578125" style="3" customWidth="1"/>
    <col min="4098" max="4098" width="45.42578125" style="3" customWidth="1"/>
    <col min="4099" max="4099" width="9.5703125" style="3" customWidth="1"/>
    <col min="4100" max="4100" width="15.140625" style="3" customWidth="1"/>
    <col min="4101" max="4101" width="11.140625" style="3" customWidth="1"/>
    <col min="4102" max="4102" width="18.140625" style="3" customWidth="1"/>
    <col min="4103" max="4103" width="12.7109375" style="3" customWidth="1"/>
    <col min="4104" max="4352" width="9.140625" style="3"/>
    <col min="4353" max="4353" width="6.42578125" style="3" customWidth="1"/>
    <col min="4354" max="4354" width="45.42578125" style="3" customWidth="1"/>
    <col min="4355" max="4355" width="9.5703125" style="3" customWidth="1"/>
    <col min="4356" max="4356" width="15.140625" style="3" customWidth="1"/>
    <col min="4357" max="4357" width="11.140625" style="3" customWidth="1"/>
    <col min="4358" max="4358" width="18.140625" style="3" customWidth="1"/>
    <col min="4359" max="4359" width="12.7109375" style="3" customWidth="1"/>
    <col min="4360" max="4608" width="9.140625" style="3"/>
    <col min="4609" max="4609" width="6.42578125" style="3" customWidth="1"/>
    <col min="4610" max="4610" width="45.42578125" style="3" customWidth="1"/>
    <col min="4611" max="4611" width="9.5703125" style="3" customWidth="1"/>
    <col min="4612" max="4612" width="15.140625" style="3" customWidth="1"/>
    <col min="4613" max="4613" width="11.140625" style="3" customWidth="1"/>
    <col min="4614" max="4614" width="18.140625" style="3" customWidth="1"/>
    <col min="4615" max="4615" width="12.7109375" style="3" customWidth="1"/>
    <col min="4616" max="4864" width="9.140625" style="3"/>
    <col min="4865" max="4865" width="6.42578125" style="3" customWidth="1"/>
    <col min="4866" max="4866" width="45.42578125" style="3" customWidth="1"/>
    <col min="4867" max="4867" width="9.5703125" style="3" customWidth="1"/>
    <col min="4868" max="4868" width="15.140625" style="3" customWidth="1"/>
    <col min="4869" max="4869" width="11.140625" style="3" customWidth="1"/>
    <col min="4870" max="4870" width="18.140625" style="3" customWidth="1"/>
    <col min="4871" max="4871" width="12.7109375" style="3" customWidth="1"/>
    <col min="4872" max="5120" width="9.140625" style="3"/>
    <col min="5121" max="5121" width="6.42578125" style="3" customWidth="1"/>
    <col min="5122" max="5122" width="45.42578125" style="3" customWidth="1"/>
    <col min="5123" max="5123" width="9.5703125" style="3" customWidth="1"/>
    <col min="5124" max="5124" width="15.140625" style="3" customWidth="1"/>
    <col min="5125" max="5125" width="11.140625" style="3" customWidth="1"/>
    <col min="5126" max="5126" width="18.140625" style="3" customWidth="1"/>
    <col min="5127" max="5127" width="12.7109375" style="3" customWidth="1"/>
    <col min="5128" max="5376" width="9.140625" style="3"/>
    <col min="5377" max="5377" width="6.42578125" style="3" customWidth="1"/>
    <col min="5378" max="5378" width="45.42578125" style="3" customWidth="1"/>
    <col min="5379" max="5379" width="9.5703125" style="3" customWidth="1"/>
    <col min="5380" max="5380" width="15.140625" style="3" customWidth="1"/>
    <col min="5381" max="5381" width="11.140625" style="3" customWidth="1"/>
    <col min="5382" max="5382" width="18.140625" style="3" customWidth="1"/>
    <col min="5383" max="5383" width="12.7109375" style="3" customWidth="1"/>
    <col min="5384" max="5632" width="9.140625" style="3"/>
    <col min="5633" max="5633" width="6.42578125" style="3" customWidth="1"/>
    <col min="5634" max="5634" width="45.42578125" style="3" customWidth="1"/>
    <col min="5635" max="5635" width="9.5703125" style="3" customWidth="1"/>
    <col min="5636" max="5636" width="15.140625" style="3" customWidth="1"/>
    <col min="5637" max="5637" width="11.140625" style="3" customWidth="1"/>
    <col min="5638" max="5638" width="18.140625" style="3" customWidth="1"/>
    <col min="5639" max="5639" width="12.7109375" style="3" customWidth="1"/>
    <col min="5640" max="5888" width="9.140625" style="3"/>
    <col min="5889" max="5889" width="6.42578125" style="3" customWidth="1"/>
    <col min="5890" max="5890" width="45.42578125" style="3" customWidth="1"/>
    <col min="5891" max="5891" width="9.5703125" style="3" customWidth="1"/>
    <col min="5892" max="5892" width="15.140625" style="3" customWidth="1"/>
    <col min="5893" max="5893" width="11.140625" style="3" customWidth="1"/>
    <col min="5894" max="5894" width="18.140625" style="3" customWidth="1"/>
    <col min="5895" max="5895" width="12.7109375" style="3" customWidth="1"/>
    <col min="5896" max="6144" width="9.140625" style="3"/>
    <col min="6145" max="6145" width="6.42578125" style="3" customWidth="1"/>
    <col min="6146" max="6146" width="45.42578125" style="3" customWidth="1"/>
    <col min="6147" max="6147" width="9.5703125" style="3" customWidth="1"/>
    <col min="6148" max="6148" width="15.140625" style="3" customWidth="1"/>
    <col min="6149" max="6149" width="11.140625" style="3" customWidth="1"/>
    <col min="6150" max="6150" width="18.140625" style="3" customWidth="1"/>
    <col min="6151" max="6151" width="12.7109375" style="3" customWidth="1"/>
    <col min="6152" max="6400" width="9.140625" style="3"/>
    <col min="6401" max="6401" width="6.42578125" style="3" customWidth="1"/>
    <col min="6402" max="6402" width="45.42578125" style="3" customWidth="1"/>
    <col min="6403" max="6403" width="9.5703125" style="3" customWidth="1"/>
    <col min="6404" max="6404" width="15.140625" style="3" customWidth="1"/>
    <col min="6405" max="6405" width="11.140625" style="3" customWidth="1"/>
    <col min="6406" max="6406" width="18.140625" style="3" customWidth="1"/>
    <col min="6407" max="6407" width="12.7109375" style="3" customWidth="1"/>
    <col min="6408" max="6656" width="9.140625" style="3"/>
    <col min="6657" max="6657" width="6.42578125" style="3" customWidth="1"/>
    <col min="6658" max="6658" width="45.42578125" style="3" customWidth="1"/>
    <col min="6659" max="6659" width="9.5703125" style="3" customWidth="1"/>
    <col min="6660" max="6660" width="15.140625" style="3" customWidth="1"/>
    <col min="6661" max="6661" width="11.140625" style="3" customWidth="1"/>
    <col min="6662" max="6662" width="18.140625" style="3" customWidth="1"/>
    <col min="6663" max="6663" width="12.7109375" style="3" customWidth="1"/>
    <col min="6664" max="6912" width="9.140625" style="3"/>
    <col min="6913" max="6913" width="6.42578125" style="3" customWidth="1"/>
    <col min="6914" max="6914" width="45.42578125" style="3" customWidth="1"/>
    <col min="6915" max="6915" width="9.5703125" style="3" customWidth="1"/>
    <col min="6916" max="6916" width="15.140625" style="3" customWidth="1"/>
    <col min="6917" max="6917" width="11.140625" style="3" customWidth="1"/>
    <col min="6918" max="6918" width="18.140625" style="3" customWidth="1"/>
    <col min="6919" max="6919" width="12.7109375" style="3" customWidth="1"/>
    <col min="6920" max="7168" width="9.140625" style="3"/>
    <col min="7169" max="7169" width="6.42578125" style="3" customWidth="1"/>
    <col min="7170" max="7170" width="45.42578125" style="3" customWidth="1"/>
    <col min="7171" max="7171" width="9.5703125" style="3" customWidth="1"/>
    <col min="7172" max="7172" width="15.140625" style="3" customWidth="1"/>
    <col min="7173" max="7173" width="11.140625" style="3" customWidth="1"/>
    <col min="7174" max="7174" width="18.140625" style="3" customWidth="1"/>
    <col min="7175" max="7175" width="12.7109375" style="3" customWidth="1"/>
    <col min="7176" max="7424" width="9.140625" style="3"/>
    <col min="7425" max="7425" width="6.42578125" style="3" customWidth="1"/>
    <col min="7426" max="7426" width="45.42578125" style="3" customWidth="1"/>
    <col min="7427" max="7427" width="9.5703125" style="3" customWidth="1"/>
    <col min="7428" max="7428" width="15.140625" style="3" customWidth="1"/>
    <col min="7429" max="7429" width="11.140625" style="3" customWidth="1"/>
    <col min="7430" max="7430" width="18.140625" style="3" customWidth="1"/>
    <col min="7431" max="7431" width="12.7109375" style="3" customWidth="1"/>
    <col min="7432" max="7680" width="9.140625" style="3"/>
    <col min="7681" max="7681" width="6.42578125" style="3" customWidth="1"/>
    <col min="7682" max="7682" width="45.42578125" style="3" customWidth="1"/>
    <col min="7683" max="7683" width="9.5703125" style="3" customWidth="1"/>
    <col min="7684" max="7684" width="15.140625" style="3" customWidth="1"/>
    <col min="7685" max="7685" width="11.140625" style="3" customWidth="1"/>
    <col min="7686" max="7686" width="18.140625" style="3" customWidth="1"/>
    <col min="7687" max="7687" width="12.7109375" style="3" customWidth="1"/>
    <col min="7688" max="7936" width="9.140625" style="3"/>
    <col min="7937" max="7937" width="6.42578125" style="3" customWidth="1"/>
    <col min="7938" max="7938" width="45.42578125" style="3" customWidth="1"/>
    <col min="7939" max="7939" width="9.5703125" style="3" customWidth="1"/>
    <col min="7940" max="7940" width="15.140625" style="3" customWidth="1"/>
    <col min="7941" max="7941" width="11.140625" style="3" customWidth="1"/>
    <col min="7942" max="7942" width="18.140625" style="3" customWidth="1"/>
    <col min="7943" max="7943" width="12.7109375" style="3" customWidth="1"/>
    <col min="7944" max="8192" width="9.140625" style="3"/>
    <col min="8193" max="8193" width="6.42578125" style="3" customWidth="1"/>
    <col min="8194" max="8194" width="45.42578125" style="3" customWidth="1"/>
    <col min="8195" max="8195" width="9.5703125" style="3" customWidth="1"/>
    <col min="8196" max="8196" width="15.140625" style="3" customWidth="1"/>
    <col min="8197" max="8197" width="11.140625" style="3" customWidth="1"/>
    <col min="8198" max="8198" width="18.140625" style="3" customWidth="1"/>
    <col min="8199" max="8199" width="12.7109375" style="3" customWidth="1"/>
    <col min="8200" max="8448" width="9.140625" style="3"/>
    <col min="8449" max="8449" width="6.42578125" style="3" customWidth="1"/>
    <col min="8450" max="8450" width="45.42578125" style="3" customWidth="1"/>
    <col min="8451" max="8451" width="9.5703125" style="3" customWidth="1"/>
    <col min="8452" max="8452" width="15.140625" style="3" customWidth="1"/>
    <col min="8453" max="8453" width="11.140625" style="3" customWidth="1"/>
    <col min="8454" max="8454" width="18.140625" style="3" customWidth="1"/>
    <col min="8455" max="8455" width="12.7109375" style="3" customWidth="1"/>
    <col min="8456" max="8704" width="9.140625" style="3"/>
    <col min="8705" max="8705" width="6.42578125" style="3" customWidth="1"/>
    <col min="8706" max="8706" width="45.42578125" style="3" customWidth="1"/>
    <col min="8707" max="8707" width="9.5703125" style="3" customWidth="1"/>
    <col min="8708" max="8708" width="15.140625" style="3" customWidth="1"/>
    <col min="8709" max="8709" width="11.140625" style="3" customWidth="1"/>
    <col min="8710" max="8710" width="18.140625" style="3" customWidth="1"/>
    <col min="8711" max="8711" width="12.7109375" style="3" customWidth="1"/>
    <col min="8712" max="8960" width="9.140625" style="3"/>
    <col min="8961" max="8961" width="6.42578125" style="3" customWidth="1"/>
    <col min="8962" max="8962" width="45.42578125" style="3" customWidth="1"/>
    <col min="8963" max="8963" width="9.5703125" style="3" customWidth="1"/>
    <col min="8964" max="8964" width="15.140625" style="3" customWidth="1"/>
    <col min="8965" max="8965" width="11.140625" style="3" customWidth="1"/>
    <col min="8966" max="8966" width="18.140625" style="3" customWidth="1"/>
    <col min="8967" max="8967" width="12.7109375" style="3" customWidth="1"/>
    <col min="8968" max="9216" width="9.140625" style="3"/>
    <col min="9217" max="9217" width="6.42578125" style="3" customWidth="1"/>
    <col min="9218" max="9218" width="45.42578125" style="3" customWidth="1"/>
    <col min="9219" max="9219" width="9.5703125" style="3" customWidth="1"/>
    <col min="9220" max="9220" width="15.140625" style="3" customWidth="1"/>
    <col min="9221" max="9221" width="11.140625" style="3" customWidth="1"/>
    <col min="9222" max="9222" width="18.140625" style="3" customWidth="1"/>
    <col min="9223" max="9223" width="12.7109375" style="3" customWidth="1"/>
    <col min="9224" max="9472" width="9.140625" style="3"/>
    <col min="9473" max="9473" width="6.42578125" style="3" customWidth="1"/>
    <col min="9474" max="9474" width="45.42578125" style="3" customWidth="1"/>
    <col min="9475" max="9475" width="9.5703125" style="3" customWidth="1"/>
    <col min="9476" max="9476" width="15.140625" style="3" customWidth="1"/>
    <col min="9477" max="9477" width="11.140625" style="3" customWidth="1"/>
    <col min="9478" max="9478" width="18.140625" style="3" customWidth="1"/>
    <col min="9479" max="9479" width="12.7109375" style="3" customWidth="1"/>
    <col min="9480" max="9728" width="9.140625" style="3"/>
    <col min="9729" max="9729" width="6.42578125" style="3" customWidth="1"/>
    <col min="9730" max="9730" width="45.42578125" style="3" customWidth="1"/>
    <col min="9731" max="9731" width="9.5703125" style="3" customWidth="1"/>
    <col min="9732" max="9732" width="15.140625" style="3" customWidth="1"/>
    <col min="9733" max="9733" width="11.140625" style="3" customWidth="1"/>
    <col min="9734" max="9734" width="18.140625" style="3" customWidth="1"/>
    <col min="9735" max="9735" width="12.7109375" style="3" customWidth="1"/>
    <col min="9736" max="9984" width="9.140625" style="3"/>
    <col min="9985" max="9985" width="6.42578125" style="3" customWidth="1"/>
    <col min="9986" max="9986" width="45.42578125" style="3" customWidth="1"/>
    <col min="9987" max="9987" width="9.5703125" style="3" customWidth="1"/>
    <col min="9988" max="9988" width="15.140625" style="3" customWidth="1"/>
    <col min="9989" max="9989" width="11.140625" style="3" customWidth="1"/>
    <col min="9990" max="9990" width="18.140625" style="3" customWidth="1"/>
    <col min="9991" max="9991" width="12.7109375" style="3" customWidth="1"/>
    <col min="9992" max="10240" width="9.140625" style="3"/>
    <col min="10241" max="10241" width="6.42578125" style="3" customWidth="1"/>
    <col min="10242" max="10242" width="45.42578125" style="3" customWidth="1"/>
    <col min="10243" max="10243" width="9.5703125" style="3" customWidth="1"/>
    <col min="10244" max="10244" width="15.140625" style="3" customWidth="1"/>
    <col min="10245" max="10245" width="11.140625" style="3" customWidth="1"/>
    <col min="10246" max="10246" width="18.140625" style="3" customWidth="1"/>
    <col min="10247" max="10247" width="12.7109375" style="3" customWidth="1"/>
    <col min="10248" max="10496" width="9.140625" style="3"/>
    <col min="10497" max="10497" width="6.42578125" style="3" customWidth="1"/>
    <col min="10498" max="10498" width="45.42578125" style="3" customWidth="1"/>
    <col min="10499" max="10499" width="9.5703125" style="3" customWidth="1"/>
    <col min="10500" max="10500" width="15.140625" style="3" customWidth="1"/>
    <col min="10501" max="10501" width="11.140625" style="3" customWidth="1"/>
    <col min="10502" max="10502" width="18.140625" style="3" customWidth="1"/>
    <col min="10503" max="10503" width="12.7109375" style="3" customWidth="1"/>
    <col min="10504" max="10752" width="9.140625" style="3"/>
    <col min="10753" max="10753" width="6.42578125" style="3" customWidth="1"/>
    <col min="10754" max="10754" width="45.42578125" style="3" customWidth="1"/>
    <col min="10755" max="10755" width="9.5703125" style="3" customWidth="1"/>
    <col min="10756" max="10756" width="15.140625" style="3" customWidth="1"/>
    <col min="10757" max="10757" width="11.140625" style="3" customWidth="1"/>
    <col min="10758" max="10758" width="18.140625" style="3" customWidth="1"/>
    <col min="10759" max="10759" width="12.7109375" style="3" customWidth="1"/>
    <col min="10760" max="11008" width="9.140625" style="3"/>
    <col min="11009" max="11009" width="6.42578125" style="3" customWidth="1"/>
    <col min="11010" max="11010" width="45.42578125" style="3" customWidth="1"/>
    <col min="11011" max="11011" width="9.5703125" style="3" customWidth="1"/>
    <col min="11012" max="11012" width="15.140625" style="3" customWidth="1"/>
    <col min="11013" max="11013" width="11.140625" style="3" customWidth="1"/>
    <col min="11014" max="11014" width="18.140625" style="3" customWidth="1"/>
    <col min="11015" max="11015" width="12.7109375" style="3" customWidth="1"/>
    <col min="11016" max="11264" width="9.140625" style="3"/>
    <col min="11265" max="11265" width="6.42578125" style="3" customWidth="1"/>
    <col min="11266" max="11266" width="45.42578125" style="3" customWidth="1"/>
    <col min="11267" max="11267" width="9.5703125" style="3" customWidth="1"/>
    <col min="11268" max="11268" width="15.140625" style="3" customWidth="1"/>
    <col min="11269" max="11269" width="11.140625" style="3" customWidth="1"/>
    <col min="11270" max="11270" width="18.140625" style="3" customWidth="1"/>
    <col min="11271" max="11271" width="12.7109375" style="3" customWidth="1"/>
    <col min="11272" max="11520" width="9.140625" style="3"/>
    <col min="11521" max="11521" width="6.42578125" style="3" customWidth="1"/>
    <col min="11522" max="11522" width="45.42578125" style="3" customWidth="1"/>
    <col min="11523" max="11523" width="9.5703125" style="3" customWidth="1"/>
    <col min="11524" max="11524" width="15.140625" style="3" customWidth="1"/>
    <col min="11525" max="11525" width="11.140625" style="3" customWidth="1"/>
    <col min="11526" max="11526" width="18.140625" style="3" customWidth="1"/>
    <col min="11527" max="11527" width="12.7109375" style="3" customWidth="1"/>
    <col min="11528" max="11776" width="9.140625" style="3"/>
    <col min="11777" max="11777" width="6.42578125" style="3" customWidth="1"/>
    <col min="11778" max="11778" width="45.42578125" style="3" customWidth="1"/>
    <col min="11779" max="11779" width="9.5703125" style="3" customWidth="1"/>
    <col min="11780" max="11780" width="15.140625" style="3" customWidth="1"/>
    <col min="11781" max="11781" width="11.140625" style="3" customWidth="1"/>
    <col min="11782" max="11782" width="18.140625" style="3" customWidth="1"/>
    <col min="11783" max="11783" width="12.7109375" style="3" customWidth="1"/>
    <col min="11784" max="12032" width="9.140625" style="3"/>
    <col min="12033" max="12033" width="6.42578125" style="3" customWidth="1"/>
    <col min="12034" max="12034" width="45.42578125" style="3" customWidth="1"/>
    <col min="12035" max="12035" width="9.5703125" style="3" customWidth="1"/>
    <col min="12036" max="12036" width="15.140625" style="3" customWidth="1"/>
    <col min="12037" max="12037" width="11.140625" style="3" customWidth="1"/>
    <col min="12038" max="12038" width="18.140625" style="3" customWidth="1"/>
    <col min="12039" max="12039" width="12.7109375" style="3" customWidth="1"/>
    <col min="12040" max="12288" width="9.140625" style="3"/>
    <col min="12289" max="12289" width="6.42578125" style="3" customWidth="1"/>
    <col min="12290" max="12290" width="45.42578125" style="3" customWidth="1"/>
    <col min="12291" max="12291" width="9.5703125" style="3" customWidth="1"/>
    <col min="12292" max="12292" width="15.140625" style="3" customWidth="1"/>
    <col min="12293" max="12293" width="11.140625" style="3" customWidth="1"/>
    <col min="12294" max="12294" width="18.140625" style="3" customWidth="1"/>
    <col min="12295" max="12295" width="12.7109375" style="3" customWidth="1"/>
    <col min="12296" max="12544" width="9.140625" style="3"/>
    <col min="12545" max="12545" width="6.42578125" style="3" customWidth="1"/>
    <col min="12546" max="12546" width="45.42578125" style="3" customWidth="1"/>
    <col min="12547" max="12547" width="9.5703125" style="3" customWidth="1"/>
    <col min="12548" max="12548" width="15.140625" style="3" customWidth="1"/>
    <col min="12549" max="12549" width="11.140625" style="3" customWidth="1"/>
    <col min="12550" max="12550" width="18.140625" style="3" customWidth="1"/>
    <col min="12551" max="12551" width="12.7109375" style="3" customWidth="1"/>
    <col min="12552" max="12800" width="9.140625" style="3"/>
    <col min="12801" max="12801" width="6.42578125" style="3" customWidth="1"/>
    <col min="12802" max="12802" width="45.42578125" style="3" customWidth="1"/>
    <col min="12803" max="12803" width="9.5703125" style="3" customWidth="1"/>
    <col min="12804" max="12804" width="15.140625" style="3" customWidth="1"/>
    <col min="12805" max="12805" width="11.140625" style="3" customWidth="1"/>
    <col min="12806" max="12806" width="18.140625" style="3" customWidth="1"/>
    <col min="12807" max="12807" width="12.7109375" style="3" customWidth="1"/>
    <col min="12808" max="13056" width="9.140625" style="3"/>
    <col min="13057" max="13057" width="6.42578125" style="3" customWidth="1"/>
    <col min="13058" max="13058" width="45.42578125" style="3" customWidth="1"/>
    <col min="13059" max="13059" width="9.5703125" style="3" customWidth="1"/>
    <col min="13060" max="13060" width="15.140625" style="3" customWidth="1"/>
    <col min="13061" max="13061" width="11.140625" style="3" customWidth="1"/>
    <col min="13062" max="13062" width="18.140625" style="3" customWidth="1"/>
    <col min="13063" max="13063" width="12.7109375" style="3" customWidth="1"/>
    <col min="13064" max="13312" width="9.140625" style="3"/>
    <col min="13313" max="13313" width="6.42578125" style="3" customWidth="1"/>
    <col min="13314" max="13314" width="45.42578125" style="3" customWidth="1"/>
    <col min="13315" max="13315" width="9.5703125" style="3" customWidth="1"/>
    <col min="13316" max="13316" width="15.140625" style="3" customWidth="1"/>
    <col min="13317" max="13317" width="11.140625" style="3" customWidth="1"/>
    <col min="13318" max="13318" width="18.140625" style="3" customWidth="1"/>
    <col min="13319" max="13319" width="12.7109375" style="3" customWidth="1"/>
    <col min="13320" max="13568" width="9.140625" style="3"/>
    <col min="13569" max="13569" width="6.42578125" style="3" customWidth="1"/>
    <col min="13570" max="13570" width="45.42578125" style="3" customWidth="1"/>
    <col min="13571" max="13571" width="9.5703125" style="3" customWidth="1"/>
    <col min="13572" max="13572" width="15.140625" style="3" customWidth="1"/>
    <col min="13573" max="13573" width="11.140625" style="3" customWidth="1"/>
    <col min="13574" max="13574" width="18.140625" style="3" customWidth="1"/>
    <col min="13575" max="13575" width="12.7109375" style="3" customWidth="1"/>
    <col min="13576" max="13824" width="9.140625" style="3"/>
    <col min="13825" max="13825" width="6.42578125" style="3" customWidth="1"/>
    <col min="13826" max="13826" width="45.42578125" style="3" customWidth="1"/>
    <col min="13827" max="13827" width="9.5703125" style="3" customWidth="1"/>
    <col min="13828" max="13828" width="15.140625" style="3" customWidth="1"/>
    <col min="13829" max="13829" width="11.140625" style="3" customWidth="1"/>
    <col min="13830" max="13830" width="18.140625" style="3" customWidth="1"/>
    <col min="13831" max="13831" width="12.7109375" style="3" customWidth="1"/>
    <col min="13832" max="14080" width="9.140625" style="3"/>
    <col min="14081" max="14081" width="6.42578125" style="3" customWidth="1"/>
    <col min="14082" max="14082" width="45.42578125" style="3" customWidth="1"/>
    <col min="14083" max="14083" width="9.5703125" style="3" customWidth="1"/>
    <col min="14084" max="14084" width="15.140625" style="3" customWidth="1"/>
    <col min="14085" max="14085" width="11.140625" style="3" customWidth="1"/>
    <col min="14086" max="14086" width="18.140625" style="3" customWidth="1"/>
    <col min="14087" max="14087" width="12.7109375" style="3" customWidth="1"/>
    <col min="14088" max="14336" width="9.140625" style="3"/>
    <col min="14337" max="14337" width="6.42578125" style="3" customWidth="1"/>
    <col min="14338" max="14338" width="45.42578125" style="3" customWidth="1"/>
    <col min="14339" max="14339" width="9.5703125" style="3" customWidth="1"/>
    <col min="14340" max="14340" width="15.140625" style="3" customWidth="1"/>
    <col min="14341" max="14341" width="11.140625" style="3" customWidth="1"/>
    <col min="14342" max="14342" width="18.140625" style="3" customWidth="1"/>
    <col min="14343" max="14343" width="12.7109375" style="3" customWidth="1"/>
    <col min="14344" max="14592" width="9.140625" style="3"/>
    <col min="14593" max="14593" width="6.42578125" style="3" customWidth="1"/>
    <col min="14594" max="14594" width="45.42578125" style="3" customWidth="1"/>
    <col min="14595" max="14595" width="9.5703125" style="3" customWidth="1"/>
    <col min="14596" max="14596" width="15.140625" style="3" customWidth="1"/>
    <col min="14597" max="14597" width="11.140625" style="3" customWidth="1"/>
    <col min="14598" max="14598" width="18.140625" style="3" customWidth="1"/>
    <col min="14599" max="14599" width="12.7109375" style="3" customWidth="1"/>
    <col min="14600" max="14848" width="9.140625" style="3"/>
    <col min="14849" max="14849" width="6.42578125" style="3" customWidth="1"/>
    <col min="14850" max="14850" width="45.42578125" style="3" customWidth="1"/>
    <col min="14851" max="14851" width="9.5703125" style="3" customWidth="1"/>
    <col min="14852" max="14852" width="15.140625" style="3" customWidth="1"/>
    <col min="14853" max="14853" width="11.140625" style="3" customWidth="1"/>
    <col min="14854" max="14854" width="18.140625" style="3" customWidth="1"/>
    <col min="14855" max="14855" width="12.7109375" style="3" customWidth="1"/>
    <col min="14856" max="15104" width="9.140625" style="3"/>
    <col min="15105" max="15105" width="6.42578125" style="3" customWidth="1"/>
    <col min="15106" max="15106" width="45.42578125" style="3" customWidth="1"/>
    <col min="15107" max="15107" width="9.5703125" style="3" customWidth="1"/>
    <col min="15108" max="15108" width="15.140625" style="3" customWidth="1"/>
    <col min="15109" max="15109" width="11.140625" style="3" customWidth="1"/>
    <col min="15110" max="15110" width="18.140625" style="3" customWidth="1"/>
    <col min="15111" max="15111" width="12.7109375" style="3" customWidth="1"/>
    <col min="15112" max="15360" width="9.140625" style="3"/>
    <col min="15361" max="15361" width="6.42578125" style="3" customWidth="1"/>
    <col min="15362" max="15362" width="45.42578125" style="3" customWidth="1"/>
    <col min="15363" max="15363" width="9.5703125" style="3" customWidth="1"/>
    <col min="15364" max="15364" width="15.140625" style="3" customWidth="1"/>
    <col min="15365" max="15365" width="11.140625" style="3" customWidth="1"/>
    <col min="15366" max="15366" width="18.140625" style="3" customWidth="1"/>
    <col min="15367" max="15367" width="12.7109375" style="3" customWidth="1"/>
    <col min="15368" max="15616" width="9.140625" style="3"/>
    <col min="15617" max="15617" width="6.42578125" style="3" customWidth="1"/>
    <col min="15618" max="15618" width="45.42578125" style="3" customWidth="1"/>
    <col min="15619" max="15619" width="9.5703125" style="3" customWidth="1"/>
    <col min="15620" max="15620" width="15.140625" style="3" customWidth="1"/>
    <col min="15621" max="15621" width="11.140625" style="3" customWidth="1"/>
    <col min="15622" max="15622" width="18.140625" style="3" customWidth="1"/>
    <col min="15623" max="15623" width="12.7109375" style="3" customWidth="1"/>
    <col min="15624" max="15872" width="9.140625" style="3"/>
    <col min="15873" max="15873" width="6.42578125" style="3" customWidth="1"/>
    <col min="15874" max="15874" width="45.42578125" style="3" customWidth="1"/>
    <col min="15875" max="15875" width="9.5703125" style="3" customWidth="1"/>
    <col min="15876" max="15876" width="15.140625" style="3" customWidth="1"/>
    <col min="15877" max="15877" width="11.140625" style="3" customWidth="1"/>
    <col min="15878" max="15878" width="18.140625" style="3" customWidth="1"/>
    <col min="15879" max="15879" width="12.7109375" style="3" customWidth="1"/>
    <col min="15880" max="16128" width="9.140625" style="3"/>
    <col min="16129" max="16129" width="6.42578125" style="3" customWidth="1"/>
    <col min="16130" max="16130" width="45.42578125" style="3" customWidth="1"/>
    <col min="16131" max="16131" width="9.5703125" style="3" customWidth="1"/>
    <col min="16132" max="16132" width="15.140625" style="3" customWidth="1"/>
    <col min="16133" max="16133" width="11.140625" style="3" customWidth="1"/>
    <col min="16134" max="16134" width="18.140625" style="3" customWidth="1"/>
    <col min="16135" max="16135" width="12.7109375" style="3" customWidth="1"/>
    <col min="16136" max="16384" width="9.140625" style="3"/>
  </cols>
  <sheetData>
    <row r="1" spans="1:14" ht="20.25" customHeight="1" x14ac:dyDescent="0.25">
      <c r="A1" s="114"/>
      <c r="D1" s="203"/>
      <c r="E1" s="203" t="s">
        <v>0</v>
      </c>
    </row>
    <row r="2" spans="1:14" ht="15" customHeight="1" x14ac:dyDescent="0.25">
      <c r="E2" s="3" t="s">
        <v>1</v>
      </c>
    </row>
    <row r="3" spans="1:14" ht="50.25" customHeight="1" x14ac:dyDescent="0.25">
      <c r="E3" s="743" t="s">
        <v>137</v>
      </c>
      <c r="F3" s="743"/>
      <c r="G3" s="743"/>
      <c r="H3" s="20"/>
    </row>
    <row r="4" spans="1:14" ht="16.5" customHeight="1" x14ac:dyDescent="0.2">
      <c r="E4" s="204" t="s">
        <v>138</v>
      </c>
    </row>
    <row r="5" spans="1:14" ht="20.25" customHeight="1" x14ac:dyDescent="0.25">
      <c r="E5" s="3" t="s">
        <v>66</v>
      </c>
    </row>
    <row r="6" spans="1:14" ht="20.25" customHeight="1" x14ac:dyDescent="0.25"/>
    <row r="7" spans="1:14" s="7" customFormat="1" ht="20.25" customHeight="1" x14ac:dyDescent="0.25">
      <c r="A7" s="730" t="s">
        <v>5</v>
      </c>
      <c r="B7" s="730"/>
      <c r="C7" s="730"/>
      <c r="D7" s="730"/>
      <c r="E7" s="730"/>
      <c r="F7" s="730"/>
      <c r="G7" s="730"/>
      <c r="H7" s="730"/>
    </row>
    <row r="8" spans="1:14" ht="18.75" customHeight="1" x14ac:dyDescent="0.25">
      <c r="A8" s="731" t="s">
        <v>67</v>
      </c>
      <c r="B8" s="731"/>
      <c r="C8" s="731"/>
      <c r="D8" s="731"/>
      <c r="E8" s="731"/>
      <c r="F8" s="731"/>
      <c r="G8" s="731"/>
      <c r="H8" s="731"/>
    </row>
    <row r="9" spans="1:14" ht="21.75" customHeight="1" x14ac:dyDescent="0.25">
      <c r="A9" s="731" t="s">
        <v>7</v>
      </c>
      <c r="B9" s="731"/>
      <c r="C9" s="731"/>
      <c r="D9" s="731"/>
      <c r="E9" s="731"/>
      <c r="F9" s="731"/>
      <c r="G9" s="731"/>
      <c r="H9" s="731"/>
    </row>
    <row r="10" spans="1:14" ht="21" customHeight="1" x14ac:dyDescent="0.25">
      <c r="A10" s="731" t="s">
        <v>8</v>
      </c>
      <c r="B10" s="731"/>
      <c r="C10" s="731"/>
      <c r="D10" s="731"/>
      <c r="E10" s="731"/>
      <c r="F10" s="731"/>
      <c r="G10" s="731"/>
      <c r="H10" s="731"/>
    </row>
    <row r="11" spans="1:14" ht="21" customHeight="1" thickBot="1" x14ac:dyDescent="0.3">
      <c r="A11" s="205"/>
      <c r="B11" s="205"/>
      <c r="C11" s="205"/>
      <c r="D11" s="205"/>
      <c r="F11" s="86" t="s">
        <v>68</v>
      </c>
      <c r="G11" s="206"/>
      <c r="H11" s="206"/>
    </row>
    <row r="12" spans="1:14" ht="69.75" customHeight="1" x14ac:dyDescent="0.25">
      <c r="A12" s="732" t="s">
        <v>10</v>
      </c>
      <c r="B12" s="734" t="s">
        <v>11</v>
      </c>
      <c r="C12" s="736" t="s">
        <v>12</v>
      </c>
      <c r="D12" s="725" t="s">
        <v>13</v>
      </c>
      <c r="E12" s="726"/>
      <c r="F12" s="734" t="s">
        <v>14</v>
      </c>
      <c r="G12" s="740" t="s">
        <v>15</v>
      </c>
      <c r="H12" s="741"/>
      <c r="I12" s="742" t="s">
        <v>16</v>
      </c>
      <c r="J12" s="742"/>
      <c r="K12" s="694"/>
    </row>
    <row r="13" spans="1:14" s="17" customFormat="1" ht="83.25" customHeight="1" thickBot="1" x14ac:dyDescent="0.3">
      <c r="A13" s="733"/>
      <c r="B13" s="735"/>
      <c r="C13" s="737"/>
      <c r="D13" s="117" t="s">
        <v>17</v>
      </c>
      <c r="E13" s="118" t="s">
        <v>69</v>
      </c>
      <c r="F13" s="735"/>
      <c r="G13" s="117" t="s">
        <v>17</v>
      </c>
      <c r="H13" s="118" t="s">
        <v>69</v>
      </c>
      <c r="I13" s="13">
        <v>10</v>
      </c>
      <c r="J13" s="14">
        <v>20</v>
      </c>
      <c r="K13" s="14" t="s">
        <v>70</v>
      </c>
    </row>
    <row r="14" spans="1:14" s="20" customFormat="1" ht="33" customHeight="1" thickBot="1" x14ac:dyDescent="0.3">
      <c r="A14" s="727" t="s">
        <v>139</v>
      </c>
      <c r="B14" s="728"/>
      <c r="C14" s="728"/>
      <c r="D14" s="728"/>
      <c r="E14" s="728"/>
      <c r="F14" s="728"/>
      <c r="G14" s="728"/>
      <c r="H14" s="729"/>
      <c r="I14" s="18"/>
      <c r="J14" s="19"/>
      <c r="K14" s="19"/>
    </row>
    <row r="15" spans="1:14" s="20" customFormat="1" ht="18.75" customHeight="1" x14ac:dyDescent="0.25">
      <c r="A15" s="207" t="s">
        <v>140</v>
      </c>
      <c r="B15" s="208" t="s">
        <v>141</v>
      </c>
      <c r="C15" s="209"/>
      <c r="D15" s="210"/>
      <c r="E15" s="211"/>
      <c r="F15" s="212"/>
      <c r="G15" s="209"/>
      <c r="H15" s="211"/>
      <c r="I15" s="18"/>
      <c r="J15" s="19"/>
      <c r="K15" s="19"/>
    </row>
    <row r="16" spans="1:14" s="32" customFormat="1" ht="30" customHeight="1" x14ac:dyDescent="0.25">
      <c r="A16" s="213" t="s">
        <v>23</v>
      </c>
      <c r="B16" s="214" t="str">
        <f>'[6]1 Первич прием неврол'!A12</f>
        <v>Первичный прием врача-невролога</v>
      </c>
      <c r="C16" s="215" t="s">
        <v>142</v>
      </c>
      <c r="D16" s="24">
        <f>'[6]1 Первич прием неврол'!G28</f>
        <v>20</v>
      </c>
      <c r="E16" s="25" t="s">
        <v>25</v>
      </c>
      <c r="F16" s="26">
        <f>'[6]1 Первич прием неврол'!P32</f>
        <v>0.09</v>
      </c>
      <c r="G16" s="28">
        <f>'[6]1р'!G28</f>
        <v>27.89</v>
      </c>
      <c r="H16" s="29" t="s">
        <v>25</v>
      </c>
      <c r="I16" s="30">
        <f>0.03*$I$13/110</f>
        <v>2.7272727272727271E-3</v>
      </c>
      <c r="J16" s="31">
        <f>0*$J$13/120</f>
        <v>0</v>
      </c>
      <c r="K16" s="31">
        <f>I16+J16</f>
        <v>2.7272727272727271E-3</v>
      </c>
      <c r="L16" s="100"/>
      <c r="M16" s="100"/>
      <c r="N16" s="100"/>
    </row>
    <row r="17" spans="1:14" s="32" customFormat="1" ht="30" customHeight="1" x14ac:dyDescent="0.25">
      <c r="A17" s="216" t="s">
        <v>26</v>
      </c>
      <c r="B17" s="217" t="str">
        <f>'[6]2 Повтор. прием'!A12</f>
        <v>Повторный прием врача-невролога</v>
      </c>
      <c r="C17" s="218" t="str">
        <f>$C$16</f>
        <v>прием</v>
      </c>
      <c r="D17" s="36">
        <f>'[6]2 Повтор. прием'!G28</f>
        <v>12.59</v>
      </c>
      <c r="E17" s="37" t="s">
        <v>25</v>
      </c>
      <c r="F17" s="38">
        <f>'[6]2 Повтор. прием'!P32</f>
        <v>0.09</v>
      </c>
      <c r="G17" s="28">
        <f>'[6]2р'!G28</f>
        <v>16.64</v>
      </c>
      <c r="H17" s="41" t="s">
        <v>25</v>
      </c>
      <c r="I17" s="30">
        <f>0.03*$I$13/110</f>
        <v>2.7272727272727271E-3</v>
      </c>
      <c r="J17" s="31">
        <f>0*$J$13/120</f>
        <v>0</v>
      </c>
      <c r="K17" s="31">
        <f t="shared" ref="K17:K23" si="0">I17+J17</f>
        <v>2.7272727272727271E-3</v>
      </c>
      <c r="L17" s="100"/>
      <c r="M17" s="100"/>
      <c r="N17" s="100"/>
    </row>
    <row r="18" spans="1:14" s="20" customFormat="1" ht="18.75" customHeight="1" x14ac:dyDescent="0.25">
      <c r="A18" s="213" t="s">
        <v>143</v>
      </c>
      <c r="B18" s="219" t="s">
        <v>144</v>
      </c>
      <c r="C18" s="220"/>
      <c r="D18" s="221"/>
      <c r="E18" s="222"/>
      <c r="F18" s="223"/>
      <c r="G18" s="224"/>
      <c r="H18" s="222"/>
      <c r="I18" s="30"/>
      <c r="J18" s="31"/>
      <c r="K18" s="31"/>
    </row>
    <row r="19" spans="1:14" s="32" customFormat="1" ht="30" customHeight="1" x14ac:dyDescent="0.25">
      <c r="A19" s="225" t="s">
        <v>72</v>
      </c>
      <c r="B19" s="217" t="str">
        <f>'[6]3 Первич прием терап'!A12</f>
        <v>Первичный прием врача-терапевта</v>
      </c>
      <c r="C19" s="218" t="str">
        <f>C16</f>
        <v>прием</v>
      </c>
      <c r="D19" s="36">
        <f>'[6]3 Первич прием терап'!G28</f>
        <v>20.149999999999999</v>
      </c>
      <c r="E19" s="37" t="s">
        <v>25</v>
      </c>
      <c r="F19" s="38">
        <f>'[6]3 Первич прием терап'!P32</f>
        <v>0.09</v>
      </c>
      <c r="G19" s="28">
        <f>'[6]3р'!G28</f>
        <v>28.16</v>
      </c>
      <c r="H19" s="41" t="s">
        <v>25</v>
      </c>
      <c r="I19" s="30">
        <f>0.03*$I$13/110</f>
        <v>2.7272727272727271E-3</v>
      </c>
      <c r="J19" s="31">
        <f>0*$J$13/120</f>
        <v>0</v>
      </c>
      <c r="K19" s="31">
        <f t="shared" si="0"/>
        <v>2.7272727272727271E-3</v>
      </c>
    </row>
    <row r="20" spans="1:14" s="32" customFormat="1" ht="30" customHeight="1" x14ac:dyDescent="0.25">
      <c r="A20" s="216" t="s">
        <v>73</v>
      </c>
      <c r="B20" s="217" t="str">
        <f>'[6]4 Повтор прием терап'!A12</f>
        <v>Повторный прием врача-терапевта</v>
      </c>
      <c r="C20" s="218" t="str">
        <f>C19</f>
        <v>прием</v>
      </c>
      <c r="D20" s="36">
        <f>'[6]4 Повтор прием терап'!G28</f>
        <v>12.04</v>
      </c>
      <c r="E20" s="37" t="s">
        <v>25</v>
      </c>
      <c r="F20" s="38">
        <f>'[6]4 Повтор прием терап'!P32</f>
        <v>0.09</v>
      </c>
      <c r="G20" s="28">
        <f>'[6]4р'!G28</f>
        <v>16.57</v>
      </c>
      <c r="H20" s="41" t="s">
        <v>25</v>
      </c>
      <c r="I20" s="30">
        <f>0.03*$I$13/110</f>
        <v>2.7272727272727271E-3</v>
      </c>
      <c r="J20" s="31">
        <f>0*$J$13/120</f>
        <v>0</v>
      </c>
      <c r="K20" s="31">
        <f t="shared" si="0"/>
        <v>2.7272727272727271E-3</v>
      </c>
    </row>
    <row r="21" spans="1:14" s="32" customFormat="1" ht="20.25" customHeight="1" x14ac:dyDescent="0.25">
      <c r="A21" s="213" t="s">
        <v>145</v>
      </c>
      <c r="B21" s="219" t="s">
        <v>146</v>
      </c>
      <c r="C21" s="220"/>
      <c r="D21" s="221"/>
      <c r="E21" s="222"/>
      <c r="F21" s="223"/>
      <c r="G21" s="224"/>
      <c r="H21" s="222"/>
      <c r="I21" s="30"/>
      <c r="J21" s="31"/>
      <c r="K21" s="31"/>
    </row>
    <row r="22" spans="1:14" s="32" customFormat="1" ht="30" customHeight="1" x14ac:dyDescent="0.25">
      <c r="A22" s="225" t="s">
        <v>96</v>
      </c>
      <c r="B22" s="217" t="s">
        <v>147</v>
      </c>
      <c r="C22" s="218" t="str">
        <f>C19</f>
        <v>прием</v>
      </c>
      <c r="D22" s="36">
        <f>'[6]5 Педиатр'!G28</f>
        <v>15.59</v>
      </c>
      <c r="E22" s="37" t="s">
        <v>25</v>
      </c>
      <c r="F22" s="38">
        <f>'[6]5 Педиатр'!P31</f>
        <v>0.09</v>
      </c>
      <c r="G22" s="28">
        <f>'[6]5р'!G28</f>
        <v>22.91</v>
      </c>
      <c r="H22" s="41" t="s">
        <v>25</v>
      </c>
      <c r="I22" s="30">
        <f>0.03*$I$13/110</f>
        <v>2.7272727272727271E-3</v>
      </c>
      <c r="J22" s="31">
        <f>0*$J$13/120</f>
        <v>0</v>
      </c>
      <c r="K22" s="31">
        <f t="shared" si="0"/>
        <v>2.7272727272727271E-3</v>
      </c>
    </row>
    <row r="23" spans="1:14" s="32" customFormat="1" ht="30" customHeight="1" thickBot="1" x14ac:dyDescent="0.3">
      <c r="A23" s="226" t="s">
        <v>97</v>
      </c>
      <c r="B23" s="227" t="s">
        <v>148</v>
      </c>
      <c r="C23" s="228" t="str">
        <f>C22</f>
        <v>прием</v>
      </c>
      <c r="D23" s="105">
        <f>'[6]6 Повт.педиатр'!G28</f>
        <v>7.93</v>
      </c>
      <c r="E23" s="79" t="s">
        <v>25</v>
      </c>
      <c r="F23" s="106">
        <f>'[6]6 Повт.педиатр'!P32</f>
        <v>0.09</v>
      </c>
      <c r="G23" s="107">
        <f>'[6]6р'!G28</f>
        <v>11.13</v>
      </c>
      <c r="H23" s="229" t="s">
        <v>25</v>
      </c>
      <c r="I23" s="30">
        <f>0.03*$I$13/110</f>
        <v>2.7272727272727271E-3</v>
      </c>
      <c r="J23" s="31">
        <f>0*$J$13/120</f>
        <v>0</v>
      </c>
      <c r="K23" s="31">
        <f t="shared" si="0"/>
        <v>2.7272727272727271E-3</v>
      </c>
    </row>
    <row r="24" spans="1:14" ht="18" customHeight="1" x14ac:dyDescent="0.25">
      <c r="B24" s="20"/>
    </row>
    <row r="25" spans="1:14" ht="22.5" customHeight="1" x14ac:dyDescent="0.25">
      <c r="A25" s="3" t="s">
        <v>135</v>
      </c>
      <c r="B25" s="20"/>
      <c r="F25" s="3" t="s">
        <v>56</v>
      </c>
    </row>
    <row r="26" spans="1:14" ht="12.75" customHeight="1" x14ac:dyDescent="0.25">
      <c r="B26" s="20"/>
    </row>
    <row r="27" spans="1:14" ht="24.75" customHeight="1" x14ac:dyDescent="0.25">
      <c r="A27" s="3" t="s">
        <v>149</v>
      </c>
      <c r="F27" s="230" t="s">
        <v>83</v>
      </c>
    </row>
    <row r="28" spans="1:14" ht="10.5" customHeight="1" x14ac:dyDescent="0.25">
      <c r="F28" s="230"/>
    </row>
    <row r="29" spans="1:14" ht="30" customHeight="1" x14ac:dyDescent="0.25">
      <c r="A29" s="3" t="s">
        <v>136</v>
      </c>
      <c r="F29" s="230" t="s">
        <v>58</v>
      </c>
    </row>
    <row r="30" spans="1:14" ht="2.25" customHeight="1" x14ac:dyDescent="0.25">
      <c r="F30" s="230"/>
    </row>
    <row r="31" spans="1:14" ht="30" customHeight="1" x14ac:dyDescent="0.25">
      <c r="A31" s="3" t="s">
        <v>85</v>
      </c>
      <c r="F31" s="230" t="s">
        <v>60</v>
      </c>
    </row>
    <row r="32" spans="1:14" ht="30" hidden="1" customHeight="1" x14ac:dyDescent="0.25">
      <c r="A32" s="3" t="s">
        <v>61</v>
      </c>
    </row>
    <row r="33" spans="1:2" ht="28.5" hidden="1" customHeight="1" x14ac:dyDescent="0.25">
      <c r="A33" s="3" t="s">
        <v>62</v>
      </c>
    </row>
    <row r="34" spans="1:2" hidden="1" x14ac:dyDescent="0.25">
      <c r="A34" s="3" t="s">
        <v>63</v>
      </c>
    </row>
    <row r="35" spans="1:2" x14ac:dyDescent="0.25">
      <c r="B35" s="20"/>
    </row>
    <row r="36" spans="1:2" x14ac:dyDescent="0.25">
      <c r="B36" s="20"/>
    </row>
    <row r="37" spans="1:2" x14ac:dyDescent="0.25">
      <c r="B37" s="20"/>
    </row>
    <row r="40" spans="1:2" x14ac:dyDescent="0.25">
      <c r="B40" s="20"/>
    </row>
    <row r="41" spans="1:2" x14ac:dyDescent="0.25">
      <c r="B41" s="20"/>
    </row>
    <row r="42" spans="1:2" x14ac:dyDescent="0.25">
      <c r="B42" s="20"/>
    </row>
  </sheetData>
  <mergeCells count="13">
    <mergeCell ref="G12:H12"/>
    <mergeCell ref="I12:K12"/>
    <mergeCell ref="A14:H14"/>
    <mergeCell ref="E3:G3"/>
    <mergeCell ref="A7:H7"/>
    <mergeCell ref="A8:H8"/>
    <mergeCell ref="A9:H9"/>
    <mergeCell ref="A10:H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4" workbookViewId="0">
      <selection sqref="A1:XFD1048576"/>
    </sheetView>
  </sheetViews>
  <sheetFormatPr defaultRowHeight="15" x14ac:dyDescent="0.25"/>
  <cols>
    <col min="1" max="1" width="3" style="3" customWidth="1"/>
    <col min="2" max="2" width="43" style="3" customWidth="1"/>
    <col min="3" max="3" width="7.140625" style="3" customWidth="1"/>
    <col min="4" max="4" width="12.7109375" style="3" customWidth="1"/>
    <col min="5" max="5" width="6.85546875" style="3" customWidth="1"/>
    <col min="6" max="6" width="10" style="3" customWidth="1"/>
    <col min="7" max="7" width="0" style="3" hidden="1" customWidth="1"/>
    <col min="8" max="8" width="12.42578125" style="3" customWidth="1"/>
    <col min="9" max="9" width="7.140625" style="3" customWidth="1"/>
    <col min="10" max="10" width="0" style="3" hidden="1" customWidth="1"/>
    <col min="11" max="11" width="9.140625" style="3"/>
    <col min="12" max="12" width="9.28515625" style="3" customWidth="1"/>
    <col min="13" max="16384" width="9.140625" style="3"/>
  </cols>
  <sheetData>
    <row r="1" spans="1:13" ht="15.75" x14ac:dyDescent="0.25">
      <c r="A1" s="85"/>
      <c r="B1" s="10"/>
      <c r="C1" s="10"/>
      <c r="D1" s="86" t="s">
        <v>0</v>
      </c>
      <c r="E1" s="10"/>
      <c r="F1" s="10"/>
      <c r="G1" s="10"/>
      <c r="H1" s="10"/>
      <c r="I1" s="10"/>
      <c r="J1" s="10"/>
    </row>
    <row r="2" spans="1:13" x14ac:dyDescent="0.25">
      <c r="A2" s="10"/>
      <c r="B2" s="10"/>
      <c r="C2" s="10"/>
      <c r="D2" s="10" t="s">
        <v>1</v>
      </c>
      <c r="E2" s="231"/>
      <c r="F2" s="10"/>
      <c r="G2" s="10"/>
      <c r="H2" s="10"/>
      <c r="I2" s="10"/>
      <c r="J2" s="10"/>
    </row>
    <row r="3" spans="1:13" ht="51.75" customHeight="1" x14ac:dyDescent="0.25">
      <c r="A3" s="10"/>
      <c r="B3" s="10"/>
      <c r="C3" s="10"/>
      <c r="D3" s="714" t="s">
        <v>137</v>
      </c>
      <c r="E3" s="714"/>
      <c r="F3" s="714"/>
      <c r="G3" s="87"/>
      <c r="H3" s="87"/>
      <c r="I3" s="87"/>
      <c r="J3" s="10"/>
    </row>
    <row r="4" spans="1:13" x14ac:dyDescent="0.25">
      <c r="A4" s="10"/>
      <c r="B4" s="10"/>
      <c r="C4" s="10"/>
      <c r="D4" s="10" t="s">
        <v>87</v>
      </c>
      <c r="E4" s="231"/>
      <c r="F4" s="10"/>
      <c r="G4" s="10"/>
      <c r="H4" s="10"/>
      <c r="I4" s="10"/>
      <c r="J4" s="10"/>
    </row>
    <row r="5" spans="1:13" x14ac:dyDescent="0.25">
      <c r="A5" s="10"/>
      <c r="B5" s="10"/>
      <c r="C5" s="10"/>
      <c r="D5" s="10" t="s">
        <v>150</v>
      </c>
      <c r="E5" s="231"/>
      <c r="F5" s="10"/>
      <c r="G5" s="10"/>
      <c r="H5" s="10"/>
      <c r="I5" s="10"/>
      <c r="J5" s="10"/>
    </row>
    <row r="6" spans="1:13" x14ac:dyDescent="0.25">
      <c r="A6" s="10"/>
      <c r="B6" s="10"/>
      <c r="C6" s="232"/>
      <c r="D6" s="206"/>
      <c r="E6" s="10"/>
      <c r="F6" s="10"/>
      <c r="G6" s="10"/>
      <c r="H6" s="10"/>
      <c r="I6" s="10"/>
      <c r="J6" s="10"/>
    </row>
    <row r="7" spans="1:13" s="7" customFormat="1" ht="15.75" x14ac:dyDescent="0.25">
      <c r="A7" s="233" t="s">
        <v>151</v>
      </c>
      <c r="B7" s="233"/>
      <c r="C7" s="233"/>
      <c r="D7" s="233"/>
      <c r="E7" s="233"/>
      <c r="F7" s="233"/>
      <c r="G7" s="233"/>
      <c r="H7" s="233"/>
      <c r="I7" s="233"/>
      <c r="J7" s="234"/>
    </row>
    <row r="8" spans="1:13" ht="15.75" x14ac:dyDescent="0.2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112"/>
    </row>
    <row r="9" spans="1:13" x14ac:dyDescent="0.25">
      <c r="A9" s="89" t="s">
        <v>7</v>
      </c>
      <c r="B9" s="89"/>
      <c r="C9" s="89"/>
      <c r="D9" s="89"/>
      <c r="E9" s="89"/>
      <c r="F9" s="89"/>
      <c r="G9" s="89"/>
      <c r="H9" s="89"/>
      <c r="I9" s="89"/>
      <c r="J9" s="112"/>
    </row>
    <row r="10" spans="1:13" x14ac:dyDescent="0.25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112"/>
    </row>
    <row r="11" spans="1:13" ht="16.5" thickBot="1" x14ac:dyDescent="0.3">
      <c r="A11" s="10"/>
      <c r="B11" s="10"/>
      <c r="C11" s="10"/>
      <c r="D11" s="10"/>
      <c r="E11" s="10"/>
      <c r="F11" s="9" t="s">
        <v>152</v>
      </c>
      <c r="G11" s="10"/>
      <c r="H11" s="10"/>
      <c r="I11" s="10"/>
      <c r="J11" s="10"/>
      <c r="K11" s="10"/>
    </row>
    <row r="12" spans="1:13" ht="77.25" customHeight="1" thickBot="1" x14ac:dyDescent="0.3">
      <c r="A12" s="717" t="s">
        <v>10</v>
      </c>
      <c r="B12" s="719" t="s">
        <v>11</v>
      </c>
      <c r="C12" s="745" t="s">
        <v>153</v>
      </c>
      <c r="D12" s="721" t="s">
        <v>13</v>
      </c>
      <c r="E12" s="722"/>
      <c r="F12" s="719" t="s">
        <v>14</v>
      </c>
      <c r="G12" s="721" t="s">
        <v>15</v>
      </c>
      <c r="H12" s="744"/>
      <c r="I12" s="722"/>
      <c r="J12" s="112"/>
      <c r="K12" s="695" t="s">
        <v>16</v>
      </c>
      <c r="L12" s="695"/>
      <c r="M12" s="695"/>
    </row>
    <row r="13" spans="1:13" s="17" customFormat="1" ht="185.25" customHeight="1" thickBot="1" x14ac:dyDescent="0.3">
      <c r="A13" s="718"/>
      <c r="B13" s="720"/>
      <c r="C13" s="746"/>
      <c r="D13" s="90" t="s">
        <v>17</v>
      </c>
      <c r="E13" s="91" t="s">
        <v>18</v>
      </c>
      <c r="F13" s="720"/>
      <c r="G13" s="90" t="s">
        <v>19</v>
      </c>
      <c r="H13" s="90" t="s">
        <v>17</v>
      </c>
      <c r="I13" s="91" t="s">
        <v>154</v>
      </c>
      <c r="J13" s="235" t="s">
        <v>19</v>
      </c>
      <c r="K13" s="14">
        <v>10</v>
      </c>
      <c r="L13" s="14">
        <v>20</v>
      </c>
      <c r="M13" s="14" t="s">
        <v>70</v>
      </c>
    </row>
    <row r="14" spans="1:13" s="20" customFormat="1" ht="16.5" thickBot="1" x14ac:dyDescent="0.3">
      <c r="A14" s="236" t="s">
        <v>155</v>
      </c>
      <c r="B14" s="121"/>
      <c r="C14" s="237"/>
      <c r="D14" s="125"/>
      <c r="E14" s="123"/>
      <c r="F14" s="124"/>
      <c r="G14" s="125"/>
      <c r="H14" s="237"/>
      <c r="I14" s="123"/>
      <c r="J14" s="238"/>
      <c r="K14" s="19"/>
      <c r="L14" s="19"/>
      <c r="M14" s="19"/>
    </row>
    <row r="15" spans="1:13" s="20" customFormat="1" ht="216" customHeight="1" thickBot="1" x14ac:dyDescent="0.3">
      <c r="A15" s="239" t="s">
        <v>90</v>
      </c>
      <c r="B15" s="240" t="s">
        <v>156</v>
      </c>
      <c r="C15" s="241">
        <v>100</v>
      </c>
      <c r="D15" s="242">
        <f>'[7]1'!G26</f>
        <v>0.54</v>
      </c>
      <c r="E15" s="243" t="s">
        <v>25</v>
      </c>
      <c r="F15" s="242">
        <f>'[7]1'!P24</f>
        <v>0.4</v>
      </c>
      <c r="G15" s="243" t="e">
        <f>'[7]1'!#REF!</f>
        <v>#REF!</v>
      </c>
      <c r="H15" s="242">
        <f>'[7]1р'!G26</f>
        <v>0.68</v>
      </c>
      <c r="I15" s="244" t="s">
        <v>25</v>
      </c>
      <c r="J15" s="245" t="e">
        <f>'[7]1'!#REF!</f>
        <v>#REF!</v>
      </c>
      <c r="K15" s="246"/>
      <c r="L15" s="247">
        <f>F15*L13/120</f>
        <v>6.6666666666666666E-2</v>
      </c>
      <c r="M15" s="246">
        <f>K15+L15</f>
        <v>6.6666666666666666E-2</v>
      </c>
    </row>
    <row r="16" spans="1:13" ht="15.75" x14ac:dyDescent="0.25">
      <c r="A16" s="248"/>
      <c r="B16" s="249"/>
      <c r="C16" s="248"/>
      <c r="D16" s="250"/>
      <c r="E16" s="251"/>
      <c r="F16" s="252"/>
      <c r="G16" s="253"/>
      <c r="H16" s="250"/>
      <c r="I16" s="251"/>
      <c r="J16" s="250"/>
      <c r="K16" s="10"/>
      <c r="L16" s="10"/>
    </row>
    <row r="17" spans="1:12" x14ac:dyDescent="0.25">
      <c r="A17" s="10" t="s">
        <v>135</v>
      </c>
      <c r="B17" s="87"/>
      <c r="C17" s="10"/>
      <c r="D17" s="10"/>
      <c r="E17" s="113"/>
      <c r="F17" s="10" t="s">
        <v>56</v>
      </c>
      <c r="G17" s="10"/>
      <c r="H17" s="10"/>
      <c r="I17" s="10"/>
      <c r="J17" s="10"/>
      <c r="K17" s="10"/>
      <c r="L17" s="10"/>
    </row>
    <row r="18" spans="1:12" x14ac:dyDescent="0.25">
      <c r="A18" s="10" t="s">
        <v>157</v>
      </c>
      <c r="B18" s="10"/>
      <c r="C18" s="10"/>
      <c r="D18" s="10"/>
      <c r="E18" s="10"/>
      <c r="F18" s="254" t="s">
        <v>83</v>
      </c>
      <c r="G18" s="85"/>
      <c r="H18" s="85"/>
      <c r="I18" s="10"/>
      <c r="J18" s="10"/>
      <c r="K18" s="10"/>
      <c r="L18" s="10"/>
    </row>
    <row r="19" spans="1:12" x14ac:dyDescent="0.25">
      <c r="A19" s="10" t="s">
        <v>57</v>
      </c>
      <c r="B19" s="10"/>
      <c r="C19" s="10"/>
      <c r="D19" s="10"/>
      <c r="E19" s="10"/>
      <c r="F19" s="254" t="s">
        <v>58</v>
      </c>
      <c r="G19" s="85"/>
      <c r="H19" s="85"/>
      <c r="I19" s="10"/>
      <c r="J19" s="10"/>
      <c r="K19" s="10"/>
      <c r="L19" s="10"/>
    </row>
    <row r="20" spans="1:12" x14ac:dyDescent="0.25">
      <c r="A20" s="10" t="s">
        <v>158</v>
      </c>
      <c r="B20" s="10"/>
      <c r="C20" s="10"/>
      <c r="D20" s="10"/>
      <c r="E20" s="10"/>
      <c r="F20" s="254" t="s">
        <v>60</v>
      </c>
      <c r="G20" s="85"/>
      <c r="H20" s="85"/>
      <c r="I20" s="10"/>
      <c r="J20" s="10"/>
      <c r="K20" s="10"/>
      <c r="L20" s="10"/>
    </row>
    <row r="21" spans="1:12" x14ac:dyDescent="0.25">
      <c r="A21" s="10"/>
      <c r="B21" s="10"/>
      <c r="C21" s="10"/>
      <c r="D21" s="10"/>
      <c r="E21" s="10"/>
      <c r="F21" s="254"/>
      <c r="G21" s="85"/>
      <c r="H21" s="85"/>
      <c r="I21" s="10"/>
      <c r="J21" s="10"/>
      <c r="K21" s="10"/>
      <c r="L21" s="10"/>
    </row>
    <row r="22" spans="1:12" x14ac:dyDescent="0.25">
      <c r="A22" s="10"/>
      <c r="B22" s="10"/>
      <c r="C22" s="10"/>
      <c r="D22" s="10"/>
      <c r="E22" s="10"/>
      <c r="F22" s="254"/>
      <c r="G22" s="85"/>
      <c r="H22" s="85"/>
      <c r="I22" s="10"/>
      <c r="J22" s="10"/>
      <c r="K22" s="10"/>
      <c r="L22" s="10"/>
    </row>
    <row r="23" spans="1:12" x14ac:dyDescent="0.25">
      <c r="A23" s="10"/>
      <c r="B23" s="87"/>
      <c r="C23" s="10"/>
      <c r="D23" s="10"/>
      <c r="E23" s="113"/>
      <c r="F23" s="10"/>
      <c r="G23" s="10"/>
      <c r="H23" s="10"/>
      <c r="I23" s="10"/>
      <c r="J23" s="10"/>
      <c r="K23" s="10"/>
      <c r="L23" s="10"/>
    </row>
    <row r="24" spans="1:12" x14ac:dyDescent="0.25">
      <c r="A24" s="10"/>
      <c r="B24" s="87"/>
      <c r="C24" s="10"/>
      <c r="D24" s="10"/>
      <c r="E24" s="113"/>
      <c r="F24" s="10"/>
      <c r="G24" s="10"/>
      <c r="H24" s="10"/>
      <c r="I24" s="10"/>
      <c r="J24" s="10"/>
      <c r="K24" s="10"/>
      <c r="L24" s="10"/>
    </row>
    <row r="25" spans="1:12" x14ac:dyDescent="0.25">
      <c r="A25" s="10"/>
      <c r="B25" s="87"/>
      <c r="C25" s="10"/>
      <c r="D25" s="10"/>
      <c r="E25" s="113"/>
      <c r="F25" s="10"/>
      <c r="G25" s="10"/>
      <c r="H25" s="10"/>
      <c r="I25" s="10"/>
      <c r="J25" s="10"/>
      <c r="K25" s="10"/>
      <c r="L25" s="10"/>
    </row>
    <row r="26" spans="1:12" x14ac:dyDescent="0.25">
      <c r="A26" s="10"/>
      <c r="B26" s="10"/>
      <c r="C26" s="10"/>
      <c r="D26" s="10"/>
      <c r="E26" s="113"/>
      <c r="F26" s="10"/>
      <c r="G26" s="10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13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87"/>
      <c r="C28" s="10"/>
      <c r="D28" s="10"/>
      <c r="E28" s="113"/>
      <c r="F28" s="10"/>
      <c r="G28" s="10"/>
      <c r="H28" s="10"/>
      <c r="I28" s="10"/>
      <c r="J28" s="10"/>
      <c r="K28" s="10"/>
      <c r="L28" s="10"/>
    </row>
    <row r="29" spans="1:12" x14ac:dyDescent="0.25">
      <c r="A29" s="10"/>
      <c r="B29" s="87"/>
      <c r="C29" s="10"/>
      <c r="D29" s="10"/>
      <c r="E29" s="113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87"/>
      <c r="C30" s="10"/>
      <c r="D30" s="10"/>
      <c r="E30" s="113"/>
      <c r="F30" s="10"/>
      <c r="G30" s="10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13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13"/>
      <c r="F32" s="10"/>
      <c r="G32" s="10"/>
      <c r="H32" s="10"/>
      <c r="I32" s="10"/>
      <c r="J32" s="10"/>
      <c r="K32" s="10"/>
      <c r="L32" s="10"/>
    </row>
    <row r="33" spans="1:12" x14ac:dyDescent="0.25">
      <c r="A33" s="10"/>
      <c r="B33" s="10"/>
      <c r="C33" s="10"/>
      <c r="D33" s="10"/>
      <c r="E33" s="113"/>
      <c r="F33" s="10"/>
      <c r="G33" s="10"/>
      <c r="H33" s="10"/>
      <c r="I33" s="10"/>
      <c r="J33" s="10"/>
      <c r="K33" s="10"/>
      <c r="L33" s="10"/>
    </row>
    <row r="34" spans="1:12" x14ac:dyDescent="0.25">
      <c r="A34" s="10"/>
      <c r="B34" s="10"/>
      <c r="C34" s="10"/>
      <c r="D34" s="10"/>
      <c r="E34" s="113"/>
      <c r="F34" s="10"/>
      <c r="G34" s="10"/>
      <c r="H34" s="10"/>
      <c r="I34" s="10"/>
      <c r="J34" s="10"/>
      <c r="K34" s="10"/>
      <c r="L34" s="10"/>
    </row>
    <row r="35" spans="1:12" x14ac:dyDescent="0.25">
      <c r="A35" s="10"/>
      <c r="B35" s="10"/>
      <c r="C35" s="10"/>
      <c r="D35" s="10"/>
      <c r="E35" s="113"/>
      <c r="F35" s="10"/>
      <c r="G35" s="10"/>
      <c r="H35" s="10"/>
      <c r="I35" s="10"/>
      <c r="J35" s="10"/>
      <c r="K35" s="10"/>
      <c r="L35" s="10"/>
    </row>
    <row r="36" spans="1:12" x14ac:dyDescent="0.25">
      <c r="A36" s="10"/>
      <c r="B36" s="10"/>
      <c r="C36" s="10"/>
      <c r="D36" s="10"/>
      <c r="E36" s="113"/>
      <c r="F36" s="10"/>
      <c r="G36" s="10"/>
      <c r="H36" s="10"/>
      <c r="I36" s="10"/>
      <c r="J36" s="10"/>
      <c r="K36" s="10"/>
      <c r="L36" s="10"/>
    </row>
    <row r="37" spans="1:12" x14ac:dyDescent="0.25">
      <c r="A37" s="10"/>
      <c r="B37" s="10"/>
      <c r="C37" s="10"/>
      <c r="D37" s="10"/>
      <c r="E37" s="113"/>
      <c r="F37" s="10"/>
      <c r="G37" s="10"/>
      <c r="H37" s="10"/>
      <c r="I37" s="10"/>
      <c r="J37" s="10"/>
      <c r="K37" s="10"/>
      <c r="L37" s="10"/>
    </row>
    <row r="38" spans="1:12" x14ac:dyDescent="0.25">
      <c r="A38" s="10"/>
      <c r="B38" s="10"/>
      <c r="C38" s="10"/>
      <c r="D38" s="10"/>
      <c r="E38" s="113"/>
      <c r="F38" s="10"/>
      <c r="G38" s="10"/>
      <c r="H38" s="10"/>
      <c r="I38" s="10"/>
      <c r="J38" s="10"/>
      <c r="K38" s="10"/>
      <c r="L38" s="10"/>
    </row>
    <row r="39" spans="1:12" x14ac:dyDescent="0.25">
      <c r="E39" s="230"/>
    </row>
    <row r="40" spans="1:12" x14ac:dyDescent="0.25">
      <c r="E40" s="230"/>
    </row>
    <row r="41" spans="1:12" x14ac:dyDescent="0.25">
      <c r="E41" s="230"/>
    </row>
    <row r="42" spans="1:12" x14ac:dyDescent="0.25">
      <c r="E42" s="230"/>
    </row>
    <row r="43" spans="1:12" x14ac:dyDescent="0.25">
      <c r="E43" s="230"/>
    </row>
    <row r="44" spans="1:12" x14ac:dyDescent="0.25">
      <c r="E44" s="230"/>
    </row>
    <row r="45" spans="1:12" x14ac:dyDescent="0.25">
      <c r="E45" s="230"/>
    </row>
    <row r="46" spans="1:12" x14ac:dyDescent="0.25">
      <c r="E46" s="230"/>
    </row>
    <row r="47" spans="1:12" x14ac:dyDescent="0.25">
      <c r="E47" s="230"/>
    </row>
    <row r="48" spans="1:12" x14ac:dyDescent="0.25">
      <c r="E48" s="230"/>
    </row>
    <row r="49" spans="5:5" x14ac:dyDescent="0.25">
      <c r="E49" s="230"/>
    </row>
    <row r="50" spans="5:5" x14ac:dyDescent="0.25">
      <c r="E50" s="230"/>
    </row>
    <row r="51" spans="5:5" x14ac:dyDescent="0.25">
      <c r="E51" s="230"/>
    </row>
    <row r="52" spans="5:5" x14ac:dyDescent="0.25">
      <c r="E52" s="230"/>
    </row>
    <row r="53" spans="5:5" x14ac:dyDescent="0.25">
      <c r="E53" s="230"/>
    </row>
    <row r="54" spans="5:5" x14ac:dyDescent="0.25">
      <c r="E54" s="230"/>
    </row>
    <row r="55" spans="5:5" x14ac:dyDescent="0.25">
      <c r="E55" s="230"/>
    </row>
    <row r="56" spans="5:5" x14ac:dyDescent="0.25">
      <c r="E56" s="230"/>
    </row>
    <row r="57" spans="5:5" x14ac:dyDescent="0.25">
      <c r="E57" s="230"/>
    </row>
  </sheetData>
  <mergeCells count="8">
    <mergeCell ref="G12:I12"/>
    <mergeCell ref="K12:M12"/>
    <mergeCell ref="D3:F3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N13" sqref="N13"/>
    </sheetView>
  </sheetViews>
  <sheetFormatPr defaultRowHeight="15" x14ac:dyDescent="0.25"/>
  <cols>
    <col min="1" max="1" width="4.140625" style="3" customWidth="1"/>
    <col min="2" max="2" width="43.42578125" style="3" customWidth="1"/>
    <col min="3" max="3" width="9.5703125" style="3" customWidth="1"/>
    <col min="4" max="4" width="0" style="3" hidden="1" customWidth="1"/>
    <col min="5" max="5" width="12.42578125" style="3" customWidth="1"/>
    <col min="6" max="6" width="8.140625" style="3" customWidth="1"/>
    <col min="7" max="7" width="11.7109375" style="3" customWidth="1"/>
    <col min="8" max="8" width="0" style="3" hidden="1" customWidth="1"/>
    <col min="9" max="9" width="12.42578125" style="3" customWidth="1"/>
    <col min="10" max="10" width="8.7109375" style="3" customWidth="1"/>
    <col min="11" max="16384" width="9.140625" style="3"/>
  </cols>
  <sheetData>
    <row r="1" spans="1:10" ht="15.75" x14ac:dyDescent="0.25">
      <c r="A1" s="85"/>
      <c r="B1" s="10"/>
      <c r="C1" s="10"/>
      <c r="D1" s="10"/>
      <c r="E1" s="86" t="s">
        <v>0</v>
      </c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 t="s">
        <v>1</v>
      </c>
      <c r="F2" s="231"/>
      <c r="G2" s="10"/>
      <c r="H2" s="10"/>
      <c r="I2" s="10"/>
      <c r="J2" s="10"/>
    </row>
    <row r="3" spans="1:10" ht="51" customHeight="1" x14ac:dyDescent="0.25">
      <c r="A3" s="10"/>
      <c r="B3" s="10"/>
      <c r="C3" s="10"/>
      <c r="D3" s="10"/>
      <c r="E3" s="714" t="s">
        <v>159</v>
      </c>
      <c r="F3" s="714"/>
      <c r="G3" s="714"/>
      <c r="H3" s="87"/>
      <c r="I3" s="87"/>
      <c r="J3" s="87"/>
    </row>
    <row r="4" spans="1:10" x14ac:dyDescent="0.25">
      <c r="A4" s="10"/>
      <c r="B4" s="10"/>
      <c r="C4" s="10"/>
      <c r="D4" s="10"/>
      <c r="E4" s="10" t="s">
        <v>87</v>
      </c>
      <c r="F4" s="231"/>
      <c r="G4" s="10"/>
      <c r="H4" s="10"/>
      <c r="I4" s="10"/>
      <c r="J4" s="10"/>
    </row>
    <row r="5" spans="1:10" x14ac:dyDescent="0.25">
      <c r="A5" s="10"/>
      <c r="B5" s="10"/>
      <c r="C5" s="10"/>
      <c r="D5" s="10"/>
      <c r="E5" s="10" t="s">
        <v>66</v>
      </c>
      <c r="F5" s="231"/>
      <c r="G5" s="10"/>
      <c r="H5" s="10"/>
      <c r="I5" s="10"/>
      <c r="J5" s="10"/>
    </row>
    <row r="6" spans="1:10" x14ac:dyDescent="0.25">
      <c r="A6" s="10"/>
      <c r="B6" s="10"/>
      <c r="C6" s="232"/>
      <c r="D6" s="10"/>
      <c r="E6" s="10"/>
      <c r="F6" s="10"/>
      <c r="G6" s="10"/>
      <c r="H6" s="10"/>
      <c r="I6" s="10"/>
      <c r="J6" s="10"/>
    </row>
    <row r="7" spans="1:10" s="7" customFormat="1" ht="15.75" x14ac:dyDescent="0.25">
      <c r="A7" s="715" t="s">
        <v>5</v>
      </c>
      <c r="B7" s="715"/>
      <c r="C7" s="715"/>
      <c r="D7" s="715"/>
      <c r="E7" s="715"/>
      <c r="F7" s="715"/>
      <c r="G7" s="715"/>
      <c r="H7" s="715"/>
      <c r="I7" s="715"/>
      <c r="J7" s="715"/>
    </row>
    <row r="8" spans="1:10" ht="15.75" x14ac:dyDescent="0.25">
      <c r="A8" s="716" t="s">
        <v>6</v>
      </c>
      <c r="B8" s="716"/>
      <c r="C8" s="716"/>
      <c r="D8" s="716"/>
      <c r="E8" s="716"/>
      <c r="F8" s="716"/>
      <c r="G8" s="716"/>
      <c r="H8" s="716"/>
      <c r="I8" s="716"/>
      <c r="J8" s="716"/>
    </row>
    <row r="9" spans="1:10" x14ac:dyDescent="0.25">
      <c r="A9" s="716" t="s">
        <v>7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0" x14ac:dyDescent="0.25">
      <c r="A10" s="716" t="s">
        <v>8</v>
      </c>
      <c r="B10" s="716"/>
      <c r="C10" s="716"/>
      <c r="D10" s="716"/>
      <c r="E10" s="716"/>
      <c r="F10" s="716"/>
      <c r="G10" s="716"/>
      <c r="H10" s="716"/>
      <c r="I10" s="716"/>
      <c r="J10" s="716"/>
    </row>
    <row r="11" spans="1:10" x14ac:dyDescent="0.25">
      <c r="A11" s="89"/>
      <c r="B11" s="89"/>
      <c r="C11" s="89"/>
      <c r="D11" s="10"/>
      <c r="E11" s="10"/>
      <c r="F11" s="10"/>
      <c r="G11" s="10"/>
      <c r="H11" s="10"/>
      <c r="I11" s="10"/>
      <c r="J11" s="10"/>
    </row>
    <row r="12" spans="1:10" ht="16.5" thickBot="1" x14ac:dyDescent="0.3">
      <c r="A12" s="89"/>
      <c r="B12" s="89"/>
      <c r="C12" s="89"/>
      <c r="D12" s="10"/>
      <c r="E12" s="10"/>
      <c r="F12" s="10"/>
      <c r="G12" s="255" t="s">
        <v>160</v>
      </c>
      <c r="H12" s="10"/>
      <c r="I12" s="10"/>
      <c r="J12" s="10"/>
    </row>
    <row r="13" spans="1:10" ht="77.25" customHeight="1" thickBot="1" x14ac:dyDescent="0.3">
      <c r="A13" s="717" t="s">
        <v>10</v>
      </c>
      <c r="B13" s="719" t="s">
        <v>11</v>
      </c>
      <c r="C13" s="745" t="s">
        <v>12</v>
      </c>
      <c r="D13" s="256"/>
      <c r="E13" s="721" t="s">
        <v>13</v>
      </c>
      <c r="F13" s="722"/>
      <c r="G13" s="747" t="s">
        <v>14</v>
      </c>
      <c r="H13" s="721" t="s">
        <v>15</v>
      </c>
      <c r="I13" s="744"/>
      <c r="J13" s="722"/>
    </row>
    <row r="14" spans="1:10" s="17" customFormat="1" ht="174.75" customHeight="1" thickBot="1" x14ac:dyDescent="0.3">
      <c r="A14" s="718"/>
      <c r="B14" s="720"/>
      <c r="C14" s="746"/>
      <c r="D14" s="257" t="s">
        <v>19</v>
      </c>
      <c r="E14" s="90" t="s">
        <v>17</v>
      </c>
      <c r="F14" s="91" t="s">
        <v>18</v>
      </c>
      <c r="G14" s="748"/>
      <c r="H14" s="90" t="s">
        <v>19</v>
      </c>
      <c r="I14" s="90" t="s">
        <v>17</v>
      </c>
      <c r="J14" s="91" t="s">
        <v>18</v>
      </c>
    </row>
    <row r="15" spans="1:10" s="20" customFormat="1" ht="25.5" customHeight="1" thickBot="1" x14ac:dyDescent="0.3">
      <c r="A15" s="711" t="s">
        <v>161</v>
      </c>
      <c r="B15" s="712"/>
      <c r="C15" s="712"/>
      <c r="D15" s="712"/>
      <c r="E15" s="712"/>
      <c r="F15" s="712"/>
      <c r="G15" s="712"/>
      <c r="H15" s="712"/>
      <c r="I15" s="712"/>
      <c r="J15" s="713"/>
    </row>
    <row r="16" spans="1:10" s="20" customFormat="1" ht="93" customHeight="1" thickBot="1" x14ac:dyDescent="0.3">
      <c r="A16" s="258" t="s">
        <v>90</v>
      </c>
      <c r="B16" s="259" t="str">
        <f>[8]анализ!B8</f>
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</c>
      <c r="C16" s="260" t="s">
        <v>162</v>
      </c>
      <c r="D16" s="261">
        <f>'[8]2'!M27</f>
        <v>0</v>
      </c>
      <c r="E16" s="262">
        <f>'[8]1'!G26</f>
        <v>3.7</v>
      </c>
      <c r="F16" s="263" t="s">
        <v>25</v>
      </c>
      <c r="G16" s="263" t="s">
        <v>25</v>
      </c>
      <c r="H16" s="264">
        <f>'[8]2'!Q27</f>
        <v>0</v>
      </c>
      <c r="I16" s="262">
        <f>'[8]1р'!G26</f>
        <v>5.36</v>
      </c>
      <c r="J16" s="265" t="s">
        <v>25</v>
      </c>
    </row>
    <row r="17" spans="1:10" s="20" customFormat="1" ht="91.5" customHeight="1" thickBot="1" x14ac:dyDescent="0.3">
      <c r="A17" s="239" t="s">
        <v>92</v>
      </c>
      <c r="B17" s="240" t="str">
        <f>[8]анализ!B9</f>
        <v>Лечебная физкультура для беременных: при малогрупповом методе занятий (до 5 человек)</v>
      </c>
      <c r="C17" s="266" t="s">
        <v>162</v>
      </c>
      <c r="D17" s="267">
        <f>'[8]2'!M28</f>
        <v>0</v>
      </c>
      <c r="E17" s="242">
        <f>'[8]2'!G26</f>
        <v>3.7</v>
      </c>
      <c r="F17" s="268" t="s">
        <v>25</v>
      </c>
      <c r="G17" s="268" t="s">
        <v>25</v>
      </c>
      <c r="H17" s="243">
        <f>'[8]2'!Q28</f>
        <v>0</v>
      </c>
      <c r="I17" s="242">
        <f>'[8]2р'!G26</f>
        <v>5.36</v>
      </c>
      <c r="J17" s="244" t="s">
        <v>25</v>
      </c>
    </row>
    <row r="18" spans="1:10" ht="15.75" x14ac:dyDescent="0.25">
      <c r="A18" s="248"/>
      <c r="B18" s="249"/>
      <c r="C18" s="248"/>
      <c r="D18" s="250"/>
      <c r="E18" s="10"/>
      <c r="F18" s="10"/>
      <c r="G18" s="10"/>
      <c r="H18" s="10"/>
      <c r="I18" s="10"/>
      <c r="J18" s="10"/>
    </row>
    <row r="19" spans="1:10" ht="15.75" x14ac:dyDescent="0.25">
      <c r="A19" s="248"/>
      <c r="B19" s="249"/>
      <c r="C19" s="248"/>
      <c r="D19" s="250"/>
      <c r="E19" s="10"/>
      <c r="F19" s="10"/>
      <c r="G19" s="10"/>
      <c r="H19" s="10"/>
      <c r="I19" s="10"/>
      <c r="J19" s="10"/>
    </row>
    <row r="20" spans="1:10" ht="15.75" x14ac:dyDescent="0.25">
      <c r="A20" s="248"/>
      <c r="B20" s="249"/>
      <c r="C20" s="248"/>
      <c r="D20" s="250"/>
      <c r="E20" s="10"/>
      <c r="F20" s="10"/>
      <c r="G20" s="10"/>
      <c r="H20" s="10"/>
      <c r="I20" s="10"/>
      <c r="J20" s="10"/>
    </row>
    <row r="21" spans="1:10" ht="15.75" x14ac:dyDescent="0.25">
      <c r="A21" s="248"/>
      <c r="B21" s="249"/>
      <c r="C21" s="248"/>
      <c r="D21" s="250"/>
      <c r="E21" s="10"/>
      <c r="F21" s="10"/>
      <c r="G21" s="10"/>
      <c r="H21" s="10"/>
      <c r="I21" s="10"/>
      <c r="J21" s="10"/>
    </row>
    <row r="22" spans="1:10" x14ac:dyDescent="0.25">
      <c r="A22" s="10" t="s">
        <v>135</v>
      </c>
      <c r="B22" s="87"/>
      <c r="C22" s="10"/>
      <c r="D22" s="10"/>
      <c r="E22" s="10"/>
      <c r="F22" s="10"/>
      <c r="G22" s="10"/>
      <c r="H22" s="10"/>
      <c r="I22" s="10" t="s">
        <v>56</v>
      </c>
      <c r="J22" s="10"/>
    </row>
    <row r="23" spans="1:10" x14ac:dyDescent="0.25">
      <c r="A23" s="10" t="s">
        <v>157</v>
      </c>
      <c r="B23" s="10"/>
      <c r="C23" s="10"/>
      <c r="D23" s="10"/>
      <c r="E23" s="10"/>
      <c r="H23" s="10"/>
      <c r="I23" s="113" t="s">
        <v>83</v>
      </c>
      <c r="J23" s="10"/>
    </row>
    <row r="24" spans="1:10" x14ac:dyDescent="0.25">
      <c r="A24" s="10" t="s">
        <v>136</v>
      </c>
      <c r="B24" s="10"/>
      <c r="C24" s="10"/>
      <c r="D24" s="10"/>
      <c r="E24" s="10"/>
      <c r="H24" s="10"/>
      <c r="I24" s="113" t="s">
        <v>58</v>
      </c>
      <c r="J24" s="10"/>
    </row>
    <row r="25" spans="1:10" x14ac:dyDescent="0.25">
      <c r="A25" s="10" t="s">
        <v>85</v>
      </c>
      <c r="B25" s="10"/>
      <c r="C25" s="10"/>
      <c r="D25" s="10"/>
      <c r="E25" s="10"/>
      <c r="H25" s="10"/>
      <c r="I25" s="113" t="s">
        <v>60</v>
      </c>
      <c r="J25" s="10"/>
    </row>
    <row r="26" spans="1:10" hidden="1" x14ac:dyDescent="0.25">
      <c r="A26" s="10" t="s">
        <v>62</v>
      </c>
      <c r="B26" s="10"/>
      <c r="C26" s="10"/>
      <c r="D26" s="10"/>
      <c r="E26" s="10"/>
      <c r="F26" s="113"/>
      <c r="G26" s="10"/>
      <c r="H26" s="10"/>
      <c r="I26" s="10"/>
      <c r="J26" s="10"/>
    </row>
    <row r="27" spans="1:10" hidden="1" x14ac:dyDescent="0.25">
      <c r="A27" s="10" t="s">
        <v>63</v>
      </c>
      <c r="B27" s="10"/>
      <c r="C27" s="10"/>
      <c r="D27" s="10"/>
      <c r="E27" s="10"/>
      <c r="F27" s="113" t="s">
        <v>163</v>
      </c>
      <c r="G27" s="10"/>
      <c r="H27" s="10"/>
      <c r="I27" s="10"/>
      <c r="J27" s="10"/>
    </row>
    <row r="28" spans="1:10" x14ac:dyDescent="0.25">
      <c r="A28" s="10"/>
      <c r="B28" s="87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0"/>
      <c r="B29" s="87"/>
      <c r="C29" s="10"/>
      <c r="D29" s="10"/>
      <c r="E29" s="10"/>
      <c r="F29" s="10"/>
      <c r="G29" s="10"/>
      <c r="H29" s="10"/>
      <c r="I29" s="10"/>
      <c r="J29" s="10"/>
    </row>
    <row r="30" spans="1:10" x14ac:dyDescent="0.25">
      <c r="A30" s="10"/>
      <c r="B30" s="87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</sheetData>
  <mergeCells count="12">
    <mergeCell ref="H13:J13"/>
    <mergeCell ref="A15:J15"/>
    <mergeCell ref="E3:G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7" workbookViewId="0">
      <selection sqref="A1:XFD1048576"/>
    </sheetView>
  </sheetViews>
  <sheetFormatPr defaultRowHeight="15" x14ac:dyDescent="0.25"/>
  <cols>
    <col min="1" max="1" width="4.140625" style="3" customWidth="1"/>
    <col min="2" max="2" width="43.42578125" style="3" customWidth="1"/>
    <col min="3" max="3" width="8.7109375" style="3" customWidth="1"/>
    <col min="4" max="4" width="0" style="3" hidden="1" customWidth="1"/>
    <col min="5" max="5" width="12.42578125" style="3" customWidth="1"/>
    <col min="6" max="6" width="8.140625" style="3" customWidth="1"/>
    <col min="7" max="7" width="9.85546875" style="3" customWidth="1"/>
    <col min="8" max="8" width="0" style="3" hidden="1" customWidth="1"/>
    <col min="9" max="9" width="12.42578125" style="3" customWidth="1"/>
    <col min="10" max="10" width="8.7109375" style="3" customWidth="1"/>
    <col min="11" max="16384" width="9.140625" style="3"/>
  </cols>
  <sheetData>
    <row r="1" spans="1:13" ht="15.75" x14ac:dyDescent="0.25">
      <c r="A1" s="85"/>
      <c r="B1" s="10"/>
      <c r="C1" s="10"/>
      <c r="D1" s="10"/>
      <c r="E1" s="86" t="s">
        <v>0</v>
      </c>
      <c r="F1" s="10"/>
      <c r="G1" s="10"/>
      <c r="H1" s="10"/>
      <c r="I1" s="10"/>
      <c r="J1" s="10"/>
    </row>
    <row r="2" spans="1:13" x14ac:dyDescent="0.25">
      <c r="A2" s="10"/>
      <c r="B2" s="10"/>
      <c r="C2" s="10"/>
      <c r="D2" s="10"/>
      <c r="E2" s="10" t="s">
        <v>1</v>
      </c>
      <c r="F2" s="231"/>
      <c r="G2" s="10"/>
      <c r="H2" s="10"/>
      <c r="I2" s="10"/>
      <c r="J2" s="10"/>
    </row>
    <row r="3" spans="1:13" ht="48" customHeight="1" x14ac:dyDescent="0.25">
      <c r="A3" s="10"/>
      <c r="B3" s="10"/>
      <c r="C3" s="10"/>
      <c r="D3" s="10"/>
      <c r="E3" s="714" t="s">
        <v>159</v>
      </c>
      <c r="F3" s="714"/>
      <c r="G3" s="714"/>
      <c r="H3" s="87"/>
      <c r="I3" s="87"/>
      <c r="J3" s="87"/>
    </row>
    <row r="4" spans="1:13" x14ac:dyDescent="0.25">
      <c r="A4" s="10"/>
      <c r="B4" s="10"/>
      <c r="C4" s="10"/>
      <c r="D4" s="10"/>
      <c r="E4" s="10" t="s">
        <v>87</v>
      </c>
      <c r="F4" s="231"/>
      <c r="G4" s="10"/>
      <c r="H4" s="10"/>
      <c r="I4" s="10"/>
      <c r="J4" s="10"/>
    </row>
    <row r="5" spans="1:13" x14ac:dyDescent="0.25">
      <c r="A5" s="10"/>
      <c r="B5" s="10"/>
      <c r="C5" s="10"/>
      <c r="D5" s="10"/>
      <c r="E5" s="10" t="s">
        <v>66</v>
      </c>
      <c r="F5" s="231"/>
      <c r="G5" s="10"/>
      <c r="H5" s="10"/>
      <c r="I5" s="10"/>
      <c r="J5" s="10"/>
    </row>
    <row r="6" spans="1:13" x14ac:dyDescent="0.25">
      <c r="A6" s="10"/>
      <c r="B6" s="10"/>
      <c r="C6" s="232"/>
      <c r="D6" s="10"/>
      <c r="E6" s="10"/>
      <c r="F6" s="10"/>
      <c r="G6" s="10"/>
      <c r="H6" s="10"/>
      <c r="I6" s="10"/>
      <c r="J6" s="10"/>
    </row>
    <row r="7" spans="1:13" s="7" customFormat="1" ht="15.75" x14ac:dyDescent="0.25">
      <c r="A7" s="715" t="s">
        <v>5</v>
      </c>
      <c r="B7" s="715"/>
      <c r="C7" s="715"/>
      <c r="D7" s="715"/>
      <c r="E7" s="715"/>
      <c r="F7" s="715"/>
      <c r="G7" s="715"/>
      <c r="H7" s="715"/>
      <c r="I7" s="715"/>
      <c r="J7" s="715"/>
    </row>
    <row r="8" spans="1:13" ht="15.75" x14ac:dyDescent="0.25">
      <c r="A8" s="716" t="s">
        <v>6</v>
      </c>
      <c r="B8" s="716"/>
      <c r="C8" s="716"/>
      <c r="D8" s="716"/>
      <c r="E8" s="716"/>
      <c r="F8" s="716"/>
      <c r="G8" s="716"/>
      <c r="H8" s="716"/>
      <c r="I8" s="716"/>
      <c r="J8" s="716"/>
    </row>
    <row r="9" spans="1:13" x14ac:dyDescent="0.25">
      <c r="A9" s="716" t="s">
        <v>7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3" x14ac:dyDescent="0.25">
      <c r="A10" s="716" t="s">
        <v>8</v>
      </c>
      <c r="B10" s="716"/>
      <c r="C10" s="716"/>
      <c r="D10" s="716"/>
      <c r="E10" s="716"/>
      <c r="F10" s="716"/>
      <c r="G10" s="716"/>
      <c r="H10" s="716"/>
      <c r="I10" s="716"/>
      <c r="J10" s="716"/>
    </row>
    <row r="11" spans="1:13" x14ac:dyDescent="0.25">
      <c r="A11" s="89"/>
      <c r="B11" s="89"/>
      <c r="C11" s="89"/>
      <c r="D11" s="10"/>
      <c r="E11" s="10"/>
      <c r="F11" s="10"/>
      <c r="G11" s="10"/>
      <c r="H11" s="10"/>
      <c r="I11" s="10"/>
      <c r="J11" s="10"/>
      <c r="K11" s="10"/>
    </row>
    <row r="12" spans="1:13" ht="16.5" thickBot="1" x14ac:dyDescent="0.3">
      <c r="A12" s="89"/>
      <c r="B12" s="89"/>
      <c r="C12" s="89"/>
      <c r="D12" s="10"/>
      <c r="E12" s="10"/>
      <c r="F12" s="10"/>
      <c r="G12" s="255" t="s">
        <v>160</v>
      </c>
      <c r="H12" s="10"/>
      <c r="I12" s="10"/>
      <c r="J12" s="10"/>
      <c r="K12" s="10"/>
    </row>
    <row r="13" spans="1:13" ht="77.25" customHeight="1" thickBot="1" x14ac:dyDescent="0.3">
      <c r="A13" s="717" t="s">
        <v>10</v>
      </c>
      <c r="B13" s="719" t="s">
        <v>11</v>
      </c>
      <c r="C13" s="745" t="s">
        <v>12</v>
      </c>
      <c r="D13" s="256"/>
      <c r="E13" s="721" t="s">
        <v>13</v>
      </c>
      <c r="F13" s="722"/>
      <c r="G13" s="747" t="s">
        <v>14</v>
      </c>
      <c r="H13" s="721" t="s">
        <v>15</v>
      </c>
      <c r="I13" s="744"/>
      <c r="J13" s="722"/>
      <c r="K13" s="694" t="s">
        <v>16</v>
      </c>
      <c r="L13" s="695"/>
      <c r="M13" s="695"/>
    </row>
    <row r="14" spans="1:13" s="17" customFormat="1" ht="108.75" customHeight="1" thickBot="1" x14ac:dyDescent="0.3">
      <c r="A14" s="718"/>
      <c r="B14" s="720"/>
      <c r="C14" s="746"/>
      <c r="D14" s="257" t="s">
        <v>19</v>
      </c>
      <c r="E14" s="90" t="s">
        <v>17</v>
      </c>
      <c r="F14" s="91" t="s">
        <v>18</v>
      </c>
      <c r="G14" s="748"/>
      <c r="H14" s="90" t="s">
        <v>19</v>
      </c>
      <c r="I14" s="90" t="s">
        <v>17</v>
      </c>
      <c r="J14" s="91" t="s">
        <v>18</v>
      </c>
      <c r="K14" s="13">
        <v>10</v>
      </c>
      <c r="L14" s="14">
        <v>20</v>
      </c>
      <c r="M14" s="14" t="s">
        <v>70</v>
      </c>
    </row>
    <row r="15" spans="1:13" s="20" customFormat="1" ht="25.5" customHeight="1" thickBot="1" x14ac:dyDescent="0.3">
      <c r="A15" s="711" t="s">
        <v>164</v>
      </c>
      <c r="B15" s="712"/>
      <c r="C15" s="712"/>
      <c r="D15" s="712"/>
      <c r="E15" s="712"/>
      <c r="F15" s="712"/>
      <c r="G15" s="712"/>
      <c r="H15" s="712"/>
      <c r="I15" s="712"/>
      <c r="J15" s="713"/>
      <c r="K15" s="18"/>
      <c r="L15" s="19"/>
      <c r="M15" s="19"/>
    </row>
    <row r="16" spans="1:13" s="20" customFormat="1" ht="35.1" customHeight="1" thickBot="1" x14ac:dyDescent="0.3">
      <c r="A16" s="258" t="s">
        <v>90</v>
      </c>
      <c r="B16" s="259" t="str">
        <f>[9]анализ!B8</f>
        <v>Внутримышечная инъекция</v>
      </c>
      <c r="C16" s="269" t="s">
        <v>162</v>
      </c>
      <c r="D16" s="261" t="e">
        <f>#REF!</f>
        <v>#REF!</v>
      </c>
      <c r="E16" s="262">
        <f>'[9]1 внутрим.инъекция'!G28</f>
        <v>2.97</v>
      </c>
      <c r="F16" s="270" t="s">
        <v>25</v>
      </c>
      <c r="G16" s="271">
        <f>'[9]1 внутрим.инъекция'!O32</f>
        <v>3.09</v>
      </c>
      <c r="H16" s="272" t="e">
        <f>#REF!</f>
        <v>#REF!</v>
      </c>
      <c r="I16" s="262">
        <f>'[9]1р'!G28</f>
        <v>4.08</v>
      </c>
      <c r="J16" s="265" t="s">
        <v>25</v>
      </c>
      <c r="K16" s="273">
        <f>2.33*$K$14/110</f>
        <v>0.21181818181818182</v>
      </c>
      <c r="L16" s="247">
        <f>0.01*$L$14/120</f>
        <v>1.6666666666666668E-3</v>
      </c>
      <c r="M16" s="247">
        <f>K16+L16</f>
        <v>0.2134848484848485</v>
      </c>
    </row>
    <row r="17" spans="1:13" s="20" customFormat="1" ht="45" customHeight="1" thickBot="1" x14ac:dyDescent="0.3">
      <c r="A17" s="274" t="s">
        <v>92</v>
      </c>
      <c r="B17" s="275" t="str">
        <f>[9]анализ!B9</f>
        <v>Внутривенное капельное введение раствора лекарственного средства объемом 200 мл</v>
      </c>
      <c r="C17" s="276" t="s">
        <v>162</v>
      </c>
      <c r="D17" s="277" t="e">
        <f>#REF!</f>
        <v>#REF!</v>
      </c>
      <c r="E17" s="278">
        <f>'[9]2 внутривенное капельное введ.'!G28</f>
        <v>10.26</v>
      </c>
      <c r="F17" s="279" t="s">
        <v>25</v>
      </c>
      <c r="G17" s="280">
        <f>'[9]2 внутривенное капельное введ.'!O35</f>
        <v>6.51</v>
      </c>
      <c r="H17" s="281" t="e">
        <f>#REF!</f>
        <v>#REF!</v>
      </c>
      <c r="I17" s="278">
        <f>'[9]2р'!G28</f>
        <v>14.09</v>
      </c>
      <c r="J17" s="282" t="s">
        <v>25</v>
      </c>
      <c r="K17" s="273">
        <f>5.53*$K$14/110</f>
        <v>0.5027272727272728</v>
      </c>
      <c r="L17" s="247">
        <f>0.01*$L$14/120</f>
        <v>1.6666666666666668E-3</v>
      </c>
      <c r="M17" s="247">
        <f t="shared" ref="M17:M20" si="0">K17+L17</f>
        <v>0.50439393939393951</v>
      </c>
    </row>
    <row r="18" spans="1:13" ht="35.1" customHeight="1" thickBot="1" x14ac:dyDescent="0.3">
      <c r="A18" s="283" t="s">
        <v>94</v>
      </c>
      <c r="B18" s="284" t="str">
        <f>[9]анализ!B10</f>
        <v>Подкожная инъекция</v>
      </c>
      <c r="C18" s="269" t="s">
        <v>162</v>
      </c>
      <c r="D18" s="285"/>
      <c r="E18" s="286">
        <f>'[9]3 Подкожная инъекция'!G28</f>
        <v>2.08</v>
      </c>
      <c r="F18" s="287" t="s">
        <v>25</v>
      </c>
      <c r="G18" s="288">
        <f>'[9]3 Подкожная инъекция'!O30</f>
        <v>3.06</v>
      </c>
      <c r="H18" s="289"/>
      <c r="I18" s="286">
        <f>'[9]3р'!G28</f>
        <v>3.06</v>
      </c>
      <c r="J18" s="290" t="s">
        <v>25</v>
      </c>
      <c r="K18" s="273">
        <f>2.37*$K$14/110</f>
        <v>0.21545454545454548</v>
      </c>
      <c r="L18" s="247">
        <f>0.01*$L$14/120</f>
        <v>1.6666666666666668E-3</v>
      </c>
      <c r="M18" s="247">
        <f t="shared" si="0"/>
        <v>0.21712121212121216</v>
      </c>
    </row>
    <row r="19" spans="1:13" ht="35.1" customHeight="1" thickBot="1" x14ac:dyDescent="0.3">
      <c r="A19" s="283" t="s">
        <v>101</v>
      </c>
      <c r="B19" s="240" t="str">
        <f>[9]анализ!B11</f>
        <v>Внутривенное струйное введение лекарственных средств</v>
      </c>
      <c r="C19" s="269" t="s">
        <v>162</v>
      </c>
      <c r="D19" s="285"/>
      <c r="E19" s="286">
        <f>'[9]4 Внутривенное струйное введени'!G28</f>
        <v>4.41</v>
      </c>
      <c r="F19" s="287" t="s">
        <v>25</v>
      </c>
      <c r="G19" s="288">
        <f>'[9]4 Внутривенное струйное введени'!O33</f>
        <v>3.48</v>
      </c>
      <c r="H19" s="291"/>
      <c r="I19" s="286">
        <f>'[9]4р'!G28</f>
        <v>5.89</v>
      </c>
      <c r="J19" s="290" t="s">
        <v>25</v>
      </c>
      <c r="K19" s="273">
        <f>2.72*$K$14/110</f>
        <v>0.24727272727272731</v>
      </c>
      <c r="L19" s="247">
        <f>0.01*$L$14/120</f>
        <v>1.6666666666666668E-3</v>
      </c>
      <c r="M19" s="247">
        <f t="shared" si="0"/>
        <v>0.24893939393939399</v>
      </c>
    </row>
    <row r="20" spans="1:13" ht="35.1" customHeight="1" thickBot="1" x14ac:dyDescent="0.3">
      <c r="A20" s="292" t="s">
        <v>108</v>
      </c>
      <c r="B20" s="284" t="str">
        <f>[9]анализ!B12</f>
        <v>Внутрикожная инъекция</v>
      </c>
      <c r="C20" s="269" t="s">
        <v>162</v>
      </c>
      <c r="D20" s="285"/>
      <c r="E20" s="286">
        <f>'[9]5 Внутрикожная инъекция'!G28</f>
        <v>2.08</v>
      </c>
      <c r="F20" s="287" t="s">
        <v>25</v>
      </c>
      <c r="G20" s="288">
        <f>'[9]5 Внутрикожная инъекция'!O31</f>
        <v>3.06</v>
      </c>
      <c r="H20" s="291"/>
      <c r="I20" s="286">
        <f>'[9]5р'!G28</f>
        <v>2.72</v>
      </c>
      <c r="J20" s="290" t="s">
        <v>25</v>
      </c>
      <c r="K20" s="273">
        <f>2.37*$K$14/110</f>
        <v>0.21545454545454548</v>
      </c>
      <c r="L20" s="247">
        <f>0.01*$L$14/120</f>
        <v>1.6666666666666668E-3</v>
      </c>
      <c r="M20" s="247">
        <f t="shared" si="0"/>
        <v>0.21712121212121216</v>
      </c>
    </row>
    <row r="21" spans="1:13" ht="35.1" customHeight="1" x14ac:dyDescent="0.25">
      <c r="A21" s="293"/>
      <c r="B21" s="294"/>
      <c r="C21" s="295"/>
      <c r="D21" s="250"/>
      <c r="E21" s="296"/>
      <c r="F21" s="293"/>
      <c r="G21" s="296"/>
      <c r="H21" s="293"/>
      <c r="I21" s="296"/>
      <c r="J21" s="293"/>
      <c r="K21" s="297"/>
      <c r="L21" s="297"/>
      <c r="M21" s="297"/>
    </row>
    <row r="22" spans="1:13" ht="15.75" x14ac:dyDescent="0.25">
      <c r="A22" s="248"/>
      <c r="B22" s="249"/>
      <c r="C22" s="248"/>
      <c r="D22" s="250"/>
      <c r="E22" s="10"/>
      <c r="F22" s="10"/>
      <c r="G22" s="10"/>
      <c r="H22" s="10"/>
      <c r="I22" s="10"/>
      <c r="J22" s="10"/>
    </row>
    <row r="23" spans="1:13" x14ac:dyDescent="0.25">
      <c r="A23" s="10" t="s">
        <v>135</v>
      </c>
      <c r="B23" s="87"/>
      <c r="C23" s="10"/>
      <c r="D23" s="10"/>
      <c r="E23" s="10"/>
      <c r="F23" s="10"/>
      <c r="G23" s="10"/>
      <c r="H23" s="10"/>
      <c r="I23" s="10" t="s">
        <v>56</v>
      </c>
      <c r="J23" s="10"/>
    </row>
    <row r="24" spans="1:13" x14ac:dyDescent="0.25">
      <c r="A24" s="10"/>
      <c r="B24" s="87"/>
      <c r="C24" s="10"/>
      <c r="D24" s="10"/>
      <c r="E24" s="10"/>
      <c r="F24" s="10"/>
      <c r="G24" s="10"/>
      <c r="H24" s="10"/>
      <c r="I24" s="10"/>
      <c r="J24" s="10"/>
    </row>
    <row r="25" spans="1:13" x14ac:dyDescent="0.25">
      <c r="A25" s="10" t="s">
        <v>157</v>
      </c>
      <c r="B25" s="87"/>
      <c r="C25" s="10"/>
      <c r="D25" s="10"/>
      <c r="E25" s="10"/>
      <c r="F25" s="10"/>
      <c r="G25" s="10"/>
      <c r="H25" s="10"/>
      <c r="I25" s="113" t="s">
        <v>83</v>
      </c>
      <c r="J25" s="10"/>
    </row>
    <row r="26" spans="1:13" x14ac:dyDescent="0.25">
      <c r="A26" s="10"/>
      <c r="B26" s="87"/>
      <c r="C26" s="10"/>
      <c r="D26" s="10"/>
      <c r="E26" s="10"/>
      <c r="F26" s="10"/>
      <c r="G26" s="10"/>
      <c r="H26" s="10"/>
      <c r="I26" s="10"/>
      <c r="J26" s="10"/>
    </row>
    <row r="27" spans="1:13" x14ac:dyDescent="0.25">
      <c r="A27" s="10" t="s">
        <v>165</v>
      </c>
      <c r="B27" s="10"/>
      <c r="C27" s="10"/>
      <c r="D27" s="10"/>
      <c r="E27" s="10"/>
      <c r="H27" s="10"/>
      <c r="I27" s="113" t="s">
        <v>58</v>
      </c>
      <c r="J27" s="10"/>
    </row>
    <row r="28" spans="1:13" x14ac:dyDescent="0.25">
      <c r="A28" s="10"/>
      <c r="B28" s="10"/>
      <c r="C28" s="10"/>
      <c r="D28" s="10"/>
      <c r="E28" s="10"/>
      <c r="H28" s="10"/>
      <c r="J28" s="10"/>
    </row>
    <row r="29" spans="1:13" x14ac:dyDescent="0.25">
      <c r="A29" s="10" t="s">
        <v>85</v>
      </c>
      <c r="B29" s="10"/>
      <c r="C29" s="10"/>
      <c r="D29" s="10"/>
      <c r="E29" s="10"/>
      <c r="H29" s="10"/>
      <c r="I29" s="113" t="s">
        <v>60</v>
      </c>
      <c r="J29" s="10"/>
    </row>
    <row r="30" spans="1:13" hidden="1" x14ac:dyDescent="0.25">
      <c r="A30" s="10" t="s">
        <v>62</v>
      </c>
      <c r="B30" s="10"/>
      <c r="C30" s="10"/>
      <c r="D30" s="10"/>
      <c r="E30" s="10"/>
      <c r="F30" s="113"/>
      <c r="G30" s="10"/>
      <c r="H30" s="10"/>
      <c r="I30" s="10"/>
      <c r="J30" s="10"/>
    </row>
    <row r="31" spans="1:13" hidden="1" x14ac:dyDescent="0.25">
      <c r="A31" s="10" t="s">
        <v>63</v>
      </c>
      <c r="B31" s="10"/>
      <c r="C31" s="10"/>
      <c r="D31" s="10"/>
      <c r="E31" s="10"/>
      <c r="F31" s="113" t="s">
        <v>163</v>
      </c>
      <c r="G31" s="10"/>
      <c r="H31" s="10"/>
      <c r="I31" s="10"/>
      <c r="J31" s="10"/>
    </row>
    <row r="32" spans="1:13" x14ac:dyDescent="0.25">
      <c r="A32" s="10"/>
      <c r="B32" s="87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10"/>
      <c r="B33" s="87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10"/>
      <c r="B34" s="87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7" spans="1:10" x14ac:dyDescent="0.25">
      <c r="B37" s="20"/>
    </row>
    <row r="38" spans="1:10" x14ac:dyDescent="0.25">
      <c r="B38" s="20"/>
    </row>
    <row r="39" spans="1:10" x14ac:dyDescent="0.25">
      <c r="B39" s="20"/>
    </row>
  </sheetData>
  <mergeCells count="13">
    <mergeCell ref="H13:J13"/>
    <mergeCell ref="K13:M13"/>
    <mergeCell ref="A15:J15"/>
    <mergeCell ref="E3:G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>
      <selection sqref="A1:XFD1048576"/>
    </sheetView>
  </sheetViews>
  <sheetFormatPr defaultRowHeight="15" x14ac:dyDescent="0.25"/>
  <cols>
    <col min="1" max="1" width="7.28515625" style="3" customWidth="1"/>
    <col min="2" max="2" width="32.140625" style="3" customWidth="1"/>
    <col min="3" max="3" width="8.85546875" style="3" customWidth="1"/>
    <col min="4" max="4" width="0" style="3" hidden="1" customWidth="1"/>
    <col min="5" max="5" width="12.42578125" style="3" customWidth="1"/>
    <col min="6" max="6" width="7.28515625" style="3" customWidth="1"/>
    <col min="7" max="7" width="11.85546875" style="3" customWidth="1"/>
    <col min="8" max="8" width="0.28515625" style="3" hidden="1" customWidth="1"/>
    <col min="9" max="9" width="12.7109375" style="3" customWidth="1"/>
    <col min="10" max="10" width="7.140625" style="3" customWidth="1"/>
    <col min="11" max="16384" width="9.140625" style="3"/>
  </cols>
  <sheetData>
    <row r="1" spans="1:24" ht="15.75" x14ac:dyDescent="0.25">
      <c r="A1" s="85"/>
      <c r="B1" s="10"/>
      <c r="C1" s="10"/>
      <c r="D1" s="10"/>
      <c r="E1" s="86" t="s">
        <v>0</v>
      </c>
      <c r="F1" s="10"/>
      <c r="G1" s="10"/>
      <c r="H1" s="10"/>
      <c r="I1" s="10"/>
      <c r="J1" s="10"/>
    </row>
    <row r="2" spans="1:24" x14ac:dyDescent="0.25">
      <c r="A2" s="10"/>
      <c r="B2" s="10"/>
      <c r="C2" s="10"/>
      <c r="D2" s="10"/>
      <c r="E2" s="10" t="s">
        <v>1</v>
      </c>
      <c r="F2" s="231"/>
      <c r="G2" s="10"/>
      <c r="H2" s="10"/>
      <c r="I2" s="10"/>
      <c r="J2" s="10"/>
    </row>
    <row r="3" spans="1:24" ht="45" customHeight="1" x14ac:dyDescent="0.25">
      <c r="A3" s="10"/>
      <c r="B3" s="10"/>
      <c r="C3" s="10"/>
      <c r="D3" s="10"/>
      <c r="E3" s="714" t="s">
        <v>159</v>
      </c>
      <c r="F3" s="714"/>
      <c r="G3" s="714"/>
      <c r="H3" s="87"/>
      <c r="I3" s="87"/>
      <c r="J3" s="87"/>
    </row>
    <row r="4" spans="1:24" x14ac:dyDescent="0.25">
      <c r="A4" s="10"/>
      <c r="B4" s="10"/>
      <c r="C4" s="10"/>
      <c r="D4" s="10"/>
      <c r="E4" s="10" t="s">
        <v>87</v>
      </c>
      <c r="F4" s="231"/>
      <c r="G4" s="10"/>
      <c r="H4" s="10"/>
      <c r="I4" s="10"/>
      <c r="J4" s="10"/>
    </row>
    <row r="5" spans="1:24" x14ac:dyDescent="0.25">
      <c r="A5" s="10"/>
      <c r="B5" s="10"/>
      <c r="C5" s="10"/>
      <c r="D5" s="10"/>
      <c r="E5" s="10" t="s">
        <v>166</v>
      </c>
      <c r="F5" s="231"/>
      <c r="G5" s="10"/>
      <c r="H5" s="10"/>
      <c r="I5" s="10"/>
      <c r="J5" s="10"/>
    </row>
    <row r="6" spans="1:24" x14ac:dyDescent="0.25">
      <c r="A6" s="10"/>
      <c r="B6" s="10"/>
      <c r="C6" s="232"/>
      <c r="D6" s="10"/>
      <c r="E6" s="10"/>
      <c r="F6" s="10"/>
      <c r="G6" s="10"/>
      <c r="H6" s="10"/>
      <c r="I6" s="10"/>
      <c r="J6" s="10"/>
    </row>
    <row r="7" spans="1:24" s="9" customFormat="1" ht="15.75" x14ac:dyDescent="0.25">
      <c r="A7" s="715" t="s">
        <v>5</v>
      </c>
      <c r="B7" s="715"/>
      <c r="C7" s="715"/>
      <c r="D7" s="715"/>
      <c r="E7" s="715"/>
      <c r="F7" s="715"/>
      <c r="G7" s="715"/>
      <c r="H7" s="715"/>
      <c r="I7" s="715"/>
      <c r="J7" s="715"/>
    </row>
    <row r="8" spans="1:24" ht="15.75" x14ac:dyDescent="0.25">
      <c r="A8" s="716" t="s">
        <v>6</v>
      </c>
      <c r="B8" s="716"/>
      <c r="C8" s="716"/>
      <c r="D8" s="716"/>
      <c r="E8" s="716"/>
      <c r="F8" s="716"/>
      <c r="G8" s="716"/>
      <c r="H8" s="716"/>
      <c r="I8" s="716"/>
      <c r="J8" s="716"/>
    </row>
    <row r="9" spans="1:24" x14ac:dyDescent="0.25">
      <c r="A9" s="716" t="s">
        <v>7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24" x14ac:dyDescent="0.25">
      <c r="A10" s="716" t="s">
        <v>8</v>
      </c>
      <c r="B10" s="716"/>
      <c r="C10" s="716"/>
      <c r="D10" s="716"/>
      <c r="E10" s="716"/>
      <c r="F10" s="716"/>
      <c r="G10" s="716"/>
      <c r="H10" s="716"/>
      <c r="I10" s="716"/>
      <c r="J10" s="716"/>
    </row>
    <row r="11" spans="1:24" x14ac:dyDescent="0.25">
      <c r="A11" s="89"/>
      <c r="B11" s="89"/>
      <c r="C11" s="89"/>
      <c r="D11" s="10"/>
      <c r="E11" s="10"/>
      <c r="F11" s="10"/>
      <c r="G11" s="10"/>
      <c r="H11" s="10"/>
      <c r="I11" s="10"/>
      <c r="J11" s="10"/>
      <c r="K11" s="10"/>
    </row>
    <row r="12" spans="1:24" ht="16.5" thickBot="1" x14ac:dyDescent="0.3">
      <c r="A12" s="89"/>
      <c r="B12" s="89"/>
      <c r="C12" s="89"/>
      <c r="D12" s="10"/>
      <c r="E12" s="10"/>
      <c r="F12" s="10"/>
      <c r="G12" s="255" t="s">
        <v>167</v>
      </c>
      <c r="H12" s="10"/>
      <c r="I12" s="10"/>
      <c r="J12" s="10"/>
      <c r="K12" s="10"/>
    </row>
    <row r="13" spans="1:24" ht="77.25" customHeight="1" thickBot="1" x14ac:dyDescent="0.3">
      <c r="A13" s="717" t="s">
        <v>10</v>
      </c>
      <c r="B13" s="719" t="s">
        <v>11</v>
      </c>
      <c r="C13" s="745" t="s">
        <v>12</v>
      </c>
      <c r="D13" s="256"/>
      <c r="E13" s="721" t="s">
        <v>13</v>
      </c>
      <c r="F13" s="722"/>
      <c r="G13" s="747" t="s">
        <v>14</v>
      </c>
      <c r="H13" s="721" t="s">
        <v>15</v>
      </c>
      <c r="I13" s="744"/>
      <c r="J13" s="722"/>
      <c r="K13" s="694" t="s">
        <v>16</v>
      </c>
      <c r="L13" s="695"/>
      <c r="M13" s="695"/>
    </row>
    <row r="14" spans="1:24" s="17" customFormat="1" ht="108.75" customHeight="1" thickBot="1" x14ac:dyDescent="0.3">
      <c r="A14" s="718"/>
      <c r="B14" s="720"/>
      <c r="C14" s="746"/>
      <c r="D14" s="257" t="s">
        <v>19</v>
      </c>
      <c r="E14" s="90" t="s">
        <v>17</v>
      </c>
      <c r="F14" s="91" t="s">
        <v>18</v>
      </c>
      <c r="G14" s="748"/>
      <c r="H14" s="90" t="s">
        <v>19</v>
      </c>
      <c r="I14" s="90" t="s">
        <v>17</v>
      </c>
      <c r="J14" s="91" t="s">
        <v>18</v>
      </c>
      <c r="K14" s="13">
        <v>10</v>
      </c>
      <c r="L14" s="298">
        <v>20</v>
      </c>
      <c r="M14" s="14" t="s">
        <v>88</v>
      </c>
    </row>
    <row r="15" spans="1:24" s="20" customFormat="1" ht="25.5" customHeight="1" thickBot="1" x14ac:dyDescent="0.3">
      <c r="A15" s="711" t="s">
        <v>168</v>
      </c>
      <c r="B15" s="712"/>
      <c r="C15" s="712"/>
      <c r="D15" s="712"/>
      <c r="E15" s="712"/>
      <c r="F15" s="712"/>
      <c r="G15" s="712"/>
      <c r="H15" s="712"/>
      <c r="I15" s="712"/>
      <c r="J15" s="713"/>
      <c r="K15" s="18"/>
      <c r="L15" s="19"/>
      <c r="M15" s="19"/>
    </row>
    <row r="16" spans="1:24" s="20" customFormat="1" ht="18" customHeight="1" thickBot="1" x14ac:dyDescent="0.3">
      <c r="A16" s="299" t="s">
        <v>90</v>
      </c>
      <c r="B16" s="761" t="s">
        <v>169</v>
      </c>
      <c r="C16" s="761"/>
      <c r="D16" s="761"/>
      <c r="E16" s="761"/>
      <c r="F16" s="761"/>
      <c r="G16" s="761"/>
      <c r="H16" s="761"/>
      <c r="I16" s="761"/>
      <c r="J16" s="762"/>
      <c r="K16" s="300"/>
      <c r="L16" s="301"/>
      <c r="M16" s="301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13" s="20" customFormat="1" ht="30" x14ac:dyDescent="0.25">
      <c r="A17" s="303">
        <v>43466</v>
      </c>
      <c r="B17" s="304" t="str">
        <f>'[10]1 перв.'!A11</f>
        <v>Первичная консультация врача-рефлексотерапевта</v>
      </c>
      <c r="C17" s="189" t="s">
        <v>170</v>
      </c>
      <c r="D17" s="281" t="e">
        <f>#REF!</f>
        <v>#REF!</v>
      </c>
      <c r="E17" s="278">
        <f>'[10]1 перв.'!G26</f>
        <v>14.24</v>
      </c>
      <c r="F17" s="279" t="s">
        <v>25</v>
      </c>
      <c r="G17" s="305">
        <f>'[10]1 перв.'!P26</f>
        <v>7.0000000000000007E-2</v>
      </c>
      <c r="H17" s="306" t="e">
        <f>#REF!</f>
        <v>#REF!</v>
      </c>
      <c r="I17" s="307">
        <f>'[10]1р перв.'!G26</f>
        <v>18.57</v>
      </c>
      <c r="J17" s="308" t="s">
        <v>25</v>
      </c>
      <c r="K17" s="273">
        <f>0*$K$14/110</f>
        <v>0</v>
      </c>
      <c r="L17" s="247">
        <f>0.02*$L$14/120</f>
        <v>3.3333333333333335E-3</v>
      </c>
      <c r="M17" s="247">
        <f>K17+L17</f>
        <v>3.3333333333333335E-3</v>
      </c>
    </row>
    <row r="18" spans="1:13" s="20" customFormat="1" ht="30.75" thickBot="1" x14ac:dyDescent="0.3">
      <c r="A18" s="309">
        <v>43497</v>
      </c>
      <c r="B18" s="310" t="str">
        <f>'[10]2 повт'!A11</f>
        <v>Повторная консультация врача-рефлексотерапевта</v>
      </c>
      <c r="C18" s="198" t="s">
        <v>170</v>
      </c>
      <c r="D18" s="311"/>
      <c r="E18" s="312">
        <f>'[10]2 повт'!G26</f>
        <v>7.57</v>
      </c>
      <c r="F18" s="313" t="s">
        <v>25</v>
      </c>
      <c r="G18" s="314">
        <f>'[10]2 повт'!P26</f>
        <v>7.0000000000000007E-2</v>
      </c>
      <c r="H18" s="311"/>
      <c r="I18" s="315">
        <f>'[10]2р повт '!G26</f>
        <v>9.89</v>
      </c>
      <c r="J18" s="316" t="s">
        <v>25</v>
      </c>
      <c r="K18" s="273">
        <f>0*$K$14/110</f>
        <v>0</v>
      </c>
      <c r="L18" s="247">
        <f>0.02*$L$14/120</f>
        <v>3.3333333333333335E-3</v>
      </c>
      <c r="M18" s="247">
        <f>K18+L18</f>
        <v>3.3333333333333335E-3</v>
      </c>
    </row>
    <row r="19" spans="1:13" s="20" customFormat="1" ht="16.5" thickBot="1" x14ac:dyDescent="0.3">
      <c r="A19" s="317" t="s">
        <v>92</v>
      </c>
      <c r="B19" s="763" t="s">
        <v>171</v>
      </c>
      <c r="C19" s="763"/>
      <c r="D19" s="763"/>
      <c r="E19" s="763"/>
      <c r="F19" s="763"/>
      <c r="G19" s="763"/>
      <c r="H19" s="763"/>
      <c r="I19" s="763"/>
      <c r="J19" s="764"/>
      <c r="K19" s="273"/>
      <c r="L19" s="247"/>
      <c r="M19" s="247"/>
    </row>
    <row r="20" spans="1:13" s="20" customFormat="1" ht="16.5" thickBot="1" x14ac:dyDescent="0.3">
      <c r="A20" s="318">
        <v>43467</v>
      </c>
      <c r="B20" s="753" t="s">
        <v>172</v>
      </c>
      <c r="C20" s="753"/>
      <c r="D20" s="753"/>
      <c r="E20" s="753"/>
      <c r="F20" s="753"/>
      <c r="G20" s="753"/>
      <c r="H20" s="753"/>
      <c r="I20" s="753"/>
      <c r="J20" s="754"/>
      <c r="K20" s="273"/>
      <c r="L20" s="247"/>
      <c r="M20" s="247"/>
    </row>
    <row r="21" spans="1:13" s="20" customFormat="1" ht="16.5" thickBot="1" x14ac:dyDescent="0.3">
      <c r="A21" s="319" t="s">
        <v>173</v>
      </c>
      <c r="B21" s="751" t="s">
        <v>174</v>
      </c>
      <c r="C21" s="751"/>
      <c r="D21" s="751"/>
      <c r="E21" s="751"/>
      <c r="F21" s="751"/>
      <c r="G21" s="751"/>
      <c r="H21" s="751"/>
      <c r="I21" s="751"/>
      <c r="J21" s="752"/>
      <c r="K21" s="273"/>
      <c r="L21" s="247"/>
      <c r="M21" s="247"/>
    </row>
    <row r="22" spans="1:13" s="20" customFormat="1" ht="60.75" thickBot="1" x14ac:dyDescent="0.25">
      <c r="A22" s="320" t="s">
        <v>175</v>
      </c>
      <c r="B22" s="321" t="str">
        <f>'[10]3 оценка'!A11</f>
        <v>Оценка функционального состояния организма по характеристикам пульса методом пальпации</v>
      </c>
      <c r="C22" s="322" t="s">
        <v>24</v>
      </c>
      <c r="D22" s="323"/>
      <c r="E22" s="242">
        <f>'[10]3 оценка'!G26</f>
        <v>7.57</v>
      </c>
      <c r="F22" s="324" t="s">
        <v>25</v>
      </c>
      <c r="G22" s="271">
        <f>'[10]3 оценка'!P26</f>
        <v>7.0000000000000007E-2</v>
      </c>
      <c r="H22" s="323"/>
      <c r="I22" s="325">
        <f>'[10]3р оценка'!G26</f>
        <v>9.89</v>
      </c>
      <c r="J22" s="244" t="s">
        <v>25</v>
      </c>
      <c r="K22" s="273">
        <f>0*K14/110</f>
        <v>0</v>
      </c>
      <c r="L22" s="247">
        <f>0.02*L14/120</f>
        <v>3.3333333333333335E-3</v>
      </c>
      <c r="M22" s="247">
        <f>K22+L22</f>
        <v>3.3333333333333335E-3</v>
      </c>
    </row>
    <row r="23" spans="1:13" s="20" customFormat="1" ht="16.5" thickBot="1" x14ac:dyDescent="0.3">
      <c r="A23" s="318">
        <v>43498</v>
      </c>
      <c r="B23" s="753" t="s">
        <v>176</v>
      </c>
      <c r="C23" s="753"/>
      <c r="D23" s="753"/>
      <c r="E23" s="753"/>
      <c r="F23" s="753"/>
      <c r="G23" s="753"/>
      <c r="H23" s="753"/>
      <c r="I23" s="753"/>
      <c r="J23" s="754"/>
      <c r="K23" s="273"/>
      <c r="L23" s="247"/>
      <c r="M23" s="247"/>
    </row>
    <row r="24" spans="1:13" s="20" customFormat="1" ht="30" x14ac:dyDescent="0.2">
      <c r="A24" s="326" t="s">
        <v>177</v>
      </c>
      <c r="B24" s="327" t="str">
        <f>'[10]4 кисти'!A11</f>
        <v>Выявление альгических точек (зон) на кистях</v>
      </c>
      <c r="C24" s="189" t="s">
        <v>24</v>
      </c>
      <c r="D24" s="328"/>
      <c r="E24" s="307">
        <f>'[10]4 кисти'!G26</f>
        <v>9.86</v>
      </c>
      <c r="F24" s="329" t="s">
        <v>25</v>
      </c>
      <c r="G24" s="305">
        <f>'[10]4 кисти'!P26</f>
        <v>0.11</v>
      </c>
      <c r="H24" s="328"/>
      <c r="I24" s="330">
        <f>'[10]4р кисти'!G26</f>
        <v>12.81</v>
      </c>
      <c r="J24" s="331" t="s">
        <v>25</v>
      </c>
      <c r="K24" s="273">
        <f>0*$K$14/110</f>
        <v>0</v>
      </c>
      <c r="L24" s="247">
        <f>0.06*$L$14/120</f>
        <v>0.01</v>
      </c>
      <c r="M24" s="247">
        <f>K24+L24</f>
        <v>0.01</v>
      </c>
    </row>
    <row r="25" spans="1:13" s="20" customFormat="1" ht="30.75" thickBot="1" x14ac:dyDescent="0.3">
      <c r="A25" s="332" t="s">
        <v>178</v>
      </c>
      <c r="B25" s="197" t="str">
        <f>'[10]5 стопы'!A11</f>
        <v>Выявление альгических точек (зон) на стопах</v>
      </c>
      <c r="C25" s="198" t="s">
        <v>24</v>
      </c>
      <c r="D25" s="311"/>
      <c r="E25" s="312">
        <f>'[10]5 стопы'!G26</f>
        <v>9.86</v>
      </c>
      <c r="F25" s="313" t="s">
        <v>25</v>
      </c>
      <c r="G25" s="314">
        <f>'[10]5 стопы'!P26</f>
        <v>0.11</v>
      </c>
      <c r="H25" s="311"/>
      <c r="I25" s="312">
        <f>'[10]5р стопы '!G26</f>
        <v>12.81</v>
      </c>
      <c r="J25" s="316" t="s">
        <v>25</v>
      </c>
      <c r="K25" s="273">
        <f>0*$K$14/110</f>
        <v>0</v>
      </c>
      <c r="L25" s="247">
        <f>0.06*$L$14/120</f>
        <v>0.01</v>
      </c>
      <c r="M25" s="247">
        <f t="shared" ref="M25:M27" si="0">K25+L25</f>
        <v>0.01</v>
      </c>
    </row>
    <row r="26" spans="1:13" s="20" customFormat="1" ht="15.75" thickBot="1" x14ac:dyDescent="0.3">
      <c r="A26" s="319" t="s">
        <v>179</v>
      </c>
      <c r="B26" s="755" t="s">
        <v>180</v>
      </c>
      <c r="C26" s="755"/>
      <c r="D26" s="755"/>
      <c r="E26" s="755"/>
      <c r="F26" s="755"/>
      <c r="G26" s="755"/>
      <c r="H26" s="755"/>
      <c r="I26" s="755"/>
      <c r="J26" s="756"/>
      <c r="K26" s="273"/>
      <c r="L26" s="247"/>
      <c r="M26" s="247"/>
    </row>
    <row r="27" spans="1:13" s="20" customFormat="1" ht="75.75" thickBot="1" x14ac:dyDescent="0.3">
      <c r="A27" s="333" t="s">
        <v>181</v>
      </c>
      <c r="B27" s="294" t="str">
        <f>'[10]6 ухо'!A11</f>
        <v>Выявление альгических точек (зон) на ушной раковине (аурикулярное тестирование) методом зондирования</v>
      </c>
      <c r="C27" s="334" t="s">
        <v>24</v>
      </c>
      <c r="D27" s="335"/>
      <c r="E27" s="336">
        <f>'[10]6 ухо'!G26</f>
        <v>7.43</v>
      </c>
      <c r="F27" s="337" t="s">
        <v>25</v>
      </c>
      <c r="G27" s="338">
        <f>'[10]6 ухо'!P26</f>
        <v>0.11</v>
      </c>
      <c r="H27" s="335"/>
      <c r="I27" s="339">
        <f>'[10]6р ухо '!G26</f>
        <v>9.7100000000000009</v>
      </c>
      <c r="J27" s="340" t="s">
        <v>25</v>
      </c>
      <c r="K27" s="273">
        <f>0*$K$14/110</f>
        <v>0</v>
      </c>
      <c r="L27" s="247">
        <f>0.06*$L$14/120</f>
        <v>0.01</v>
      </c>
      <c r="M27" s="247">
        <f t="shared" si="0"/>
        <v>0.01</v>
      </c>
    </row>
    <row r="28" spans="1:13" s="20" customFormat="1" ht="16.5" thickBot="1" x14ac:dyDescent="0.3">
      <c r="A28" s="318" t="s">
        <v>94</v>
      </c>
      <c r="B28" s="757" t="s">
        <v>182</v>
      </c>
      <c r="C28" s="757"/>
      <c r="D28" s="757"/>
      <c r="E28" s="757"/>
      <c r="F28" s="757"/>
      <c r="G28" s="757"/>
      <c r="H28" s="757"/>
      <c r="I28" s="757"/>
      <c r="J28" s="758"/>
      <c r="K28" s="273"/>
      <c r="L28" s="247"/>
      <c r="M28" s="247"/>
    </row>
    <row r="29" spans="1:13" s="20" customFormat="1" ht="45" x14ac:dyDescent="0.25">
      <c r="A29" s="341">
        <v>43468</v>
      </c>
      <c r="B29" s="342" t="str">
        <f>'[10]7 иглоукалывание'!A11</f>
        <v>Классическое иглоукалывание (акупунктура)</v>
      </c>
      <c r="C29" s="189" t="s">
        <v>24</v>
      </c>
      <c r="D29" s="328"/>
      <c r="E29" s="307">
        <f>'[10]7 иглоукалывание'!G26</f>
        <v>14.02</v>
      </c>
      <c r="F29" s="329" t="s">
        <v>25</v>
      </c>
      <c r="G29" s="305">
        <f>'[10]7 иглоукалывание'!P29</f>
        <v>4.9000000000000004</v>
      </c>
      <c r="H29" s="328"/>
      <c r="I29" s="330">
        <f>'[10]7р иглоукалывание'!G26</f>
        <v>18.29</v>
      </c>
      <c r="J29" s="331" t="s">
        <v>25</v>
      </c>
      <c r="K29" s="273">
        <f>3.19*K14/110</f>
        <v>0.28999999999999998</v>
      </c>
      <c r="L29" s="247">
        <f>0.12*$L$14/120</f>
        <v>0.02</v>
      </c>
      <c r="M29" s="247">
        <f>K29+L29</f>
        <v>0.31</v>
      </c>
    </row>
    <row r="30" spans="1:13" s="20" customFormat="1" ht="15.75" x14ac:dyDescent="0.25">
      <c r="A30" s="343">
        <v>43499</v>
      </c>
      <c r="B30" s="344" t="str">
        <f>'[10]8 микроукал.'!A11</f>
        <v>Микроиглоукалывание</v>
      </c>
      <c r="C30" s="128" t="s">
        <v>24</v>
      </c>
      <c r="D30" s="267"/>
      <c r="E30" s="345">
        <f>'[10]8 микроукал.'!G26</f>
        <v>10.51</v>
      </c>
      <c r="F30" s="346" t="s">
        <v>25</v>
      </c>
      <c r="G30" s="347">
        <f>'[10]8 микроукал.'!P30</f>
        <v>4.83</v>
      </c>
      <c r="H30" s="267"/>
      <c r="I30" s="348">
        <f>'[10]8р микроукал.'!G26</f>
        <v>13.71</v>
      </c>
      <c r="J30" s="349" t="s">
        <v>25</v>
      </c>
      <c r="K30" s="273">
        <f>3.21*K14/110</f>
        <v>0.29181818181818181</v>
      </c>
      <c r="L30" s="247">
        <f>0.12*$L$14/120</f>
        <v>0.02</v>
      </c>
      <c r="M30" s="247">
        <f t="shared" ref="M30:M31" si="1">K30+L30</f>
        <v>0.31181818181818183</v>
      </c>
    </row>
    <row r="31" spans="1:13" s="20" customFormat="1" ht="30.75" thickBot="1" x14ac:dyDescent="0.3">
      <c r="A31" s="309">
        <v>43527</v>
      </c>
      <c r="B31" s="197" t="str">
        <f>'[10]9 повер.иглоук.'!A11</f>
        <v>Поверхностное иглоукалывание</v>
      </c>
      <c r="C31" s="198" t="s">
        <v>24</v>
      </c>
      <c r="D31" s="311"/>
      <c r="E31" s="312">
        <f>'[10]9 повер.иглоук.'!G26</f>
        <v>10.51</v>
      </c>
      <c r="F31" s="313" t="s">
        <v>25</v>
      </c>
      <c r="G31" s="314">
        <f>'[10]9 повер.иглоук.'!P27</f>
        <v>1.4</v>
      </c>
      <c r="H31" s="311"/>
      <c r="I31" s="312">
        <f>'[10]9р повер.иглоук.'!G26</f>
        <v>13.71</v>
      </c>
      <c r="J31" s="316" t="s">
        <v>25</v>
      </c>
      <c r="K31" s="273">
        <f>0*K14/110</f>
        <v>0</v>
      </c>
      <c r="L31" s="247">
        <f>0.12*$L$14/120</f>
        <v>0.02</v>
      </c>
      <c r="M31" s="247">
        <f t="shared" si="1"/>
        <v>0.02</v>
      </c>
    </row>
    <row r="32" spans="1:13" s="20" customFormat="1" ht="15.75" thickBot="1" x14ac:dyDescent="0.25">
      <c r="A32" s="333">
        <v>43558</v>
      </c>
      <c r="B32" s="759" t="s">
        <v>183</v>
      </c>
      <c r="C32" s="759"/>
      <c r="D32" s="759"/>
      <c r="E32" s="759"/>
      <c r="F32" s="759"/>
      <c r="G32" s="759"/>
      <c r="H32" s="759"/>
      <c r="I32" s="759"/>
      <c r="J32" s="760"/>
      <c r="K32" s="273"/>
      <c r="L32" s="247"/>
      <c r="M32" s="247"/>
    </row>
    <row r="33" spans="1:19" s="20" customFormat="1" ht="30" x14ac:dyDescent="0.25">
      <c r="A33" s="326" t="s">
        <v>184</v>
      </c>
      <c r="B33" s="342" t="str">
        <f>'[10]10 стабильная'!A11</f>
        <v>Вакуумрефлексотерапия, стабильная методика</v>
      </c>
      <c r="C33" s="189" t="s">
        <v>24</v>
      </c>
      <c r="D33" s="328"/>
      <c r="E33" s="307">
        <f>'[10]10 стабильная'!G26</f>
        <v>10.51</v>
      </c>
      <c r="F33" s="329" t="s">
        <v>25</v>
      </c>
      <c r="G33" s="305">
        <f>'[10]10 стабильная'!P28</f>
        <v>2.1</v>
      </c>
      <c r="H33" s="328"/>
      <c r="I33" s="330">
        <f>'[10]10р стабильная'!G26</f>
        <v>13.71</v>
      </c>
      <c r="J33" s="331" t="s">
        <v>25</v>
      </c>
      <c r="K33" s="273">
        <f>0*K14/110</f>
        <v>0</v>
      </c>
      <c r="L33" s="247">
        <f>0.82*$L$14/120</f>
        <v>0.13666666666666666</v>
      </c>
      <c r="M33" s="247">
        <f>K33+L33</f>
        <v>0.13666666666666666</v>
      </c>
    </row>
    <row r="34" spans="1:19" s="20" customFormat="1" ht="45" x14ac:dyDescent="0.25">
      <c r="A34" s="350" t="s">
        <v>185</v>
      </c>
      <c r="B34" s="344" t="str">
        <f>'[10]11 стаб с кровоп.'!A11</f>
        <v>Вакуумрефлексотерапия с кровопусканием, стабильный метод</v>
      </c>
      <c r="C34" s="128" t="s">
        <v>24</v>
      </c>
      <c r="D34" s="267"/>
      <c r="E34" s="345">
        <f>'[10]11 стаб с кровоп.'!G26</f>
        <v>14.02</v>
      </c>
      <c r="F34" s="346" t="s">
        <v>25</v>
      </c>
      <c r="G34" s="347">
        <f>'[10]11 стаб с кровоп.'!P29</f>
        <v>2.84</v>
      </c>
      <c r="H34" s="267"/>
      <c r="I34" s="345">
        <f>'[10]11р стаб с кровоп.'!G26</f>
        <v>18.29</v>
      </c>
      <c r="J34" s="349" t="s">
        <v>25</v>
      </c>
      <c r="K34" s="273">
        <f>1.08*K14/110</f>
        <v>9.818181818181819E-2</v>
      </c>
      <c r="L34" s="247">
        <f>0.42*$L$14/120</f>
        <v>7.0000000000000007E-2</v>
      </c>
      <c r="M34" s="247">
        <f t="shared" ref="M34:M41" si="2">K34+L34</f>
        <v>0.16818181818181821</v>
      </c>
    </row>
    <row r="35" spans="1:19" s="20" customFormat="1" ht="15.75" x14ac:dyDescent="0.25">
      <c r="A35" s="343">
        <v>43588</v>
      </c>
      <c r="B35" s="344" t="str">
        <f>'[10]12 фармакор.'!A11</f>
        <v>Фармакорефлексотерапия</v>
      </c>
      <c r="C35" s="128" t="s">
        <v>24</v>
      </c>
      <c r="D35" s="267"/>
      <c r="E35" s="345">
        <f>'[10]12 фармакор.'!G26</f>
        <v>14.02</v>
      </c>
      <c r="F35" s="346" t="s">
        <v>25</v>
      </c>
      <c r="G35" s="347">
        <f>'[10]12 фармакор.'!P31</f>
        <v>5.15</v>
      </c>
      <c r="H35" s="267"/>
      <c r="I35" s="345">
        <f>'[10]12р фармакор.'!G26</f>
        <v>18.29</v>
      </c>
      <c r="J35" s="349" t="s">
        <v>25</v>
      </c>
      <c r="K35" s="273">
        <f>3.43*K14/110</f>
        <v>0.31181818181818188</v>
      </c>
      <c r="L35" s="247">
        <f>0.22*L14/120</f>
        <v>3.6666666666666667E-2</v>
      </c>
      <c r="M35" s="247">
        <f t="shared" si="2"/>
        <v>0.34848484848484856</v>
      </c>
    </row>
    <row r="36" spans="1:19" s="20" customFormat="1" ht="30" x14ac:dyDescent="0.25">
      <c r="A36" s="343">
        <v>43619</v>
      </c>
      <c r="B36" s="344" t="str">
        <f>'[10]13 аппликац.'!A11</f>
        <v>Аппликационная рефлексотерапия</v>
      </c>
      <c r="C36" s="128" t="s">
        <v>24</v>
      </c>
      <c r="D36" s="267"/>
      <c r="E36" s="345">
        <f>'[10]13 аппликац.'!G26</f>
        <v>7.02</v>
      </c>
      <c r="F36" s="346" t="s">
        <v>25</v>
      </c>
      <c r="G36" s="347">
        <f>'[10]13 аппликац.'!P28</f>
        <v>1.07</v>
      </c>
      <c r="H36" s="267"/>
      <c r="I36" s="345">
        <f>'[10]13р аппликац.'!G26</f>
        <v>9.15</v>
      </c>
      <c r="J36" s="349" t="s">
        <v>25</v>
      </c>
      <c r="K36" s="273">
        <f>0.02*K14/110</f>
        <v>1.8181818181818182E-3</v>
      </c>
      <c r="L36" s="247">
        <f>0.02*L14/120</f>
        <v>3.3333333333333335E-3</v>
      </c>
      <c r="M36" s="247">
        <f t="shared" si="2"/>
        <v>5.1515151515151517E-3</v>
      </c>
    </row>
    <row r="37" spans="1:19" s="20" customFormat="1" ht="30" x14ac:dyDescent="0.25">
      <c r="A37" s="343">
        <v>43649</v>
      </c>
      <c r="B37" s="344" t="str">
        <f>'[10]14 кисть'!A11</f>
        <v>Рефлексотерапия микросистем кисти</v>
      </c>
      <c r="C37" s="128" t="s">
        <v>24</v>
      </c>
      <c r="D37" s="267"/>
      <c r="E37" s="345">
        <f>'[10]14 кисть'!G26</f>
        <v>14.02</v>
      </c>
      <c r="F37" s="346" t="s">
        <v>25</v>
      </c>
      <c r="G37" s="347">
        <f>'[10]14 кисть'!P29</f>
        <v>4.9000000000000004</v>
      </c>
      <c r="H37" s="267"/>
      <c r="I37" s="345">
        <f>'[10]14р кисть'!G26</f>
        <v>18.29</v>
      </c>
      <c r="J37" s="349" t="s">
        <v>25</v>
      </c>
      <c r="K37" s="273">
        <f>3.19*$K$14/110</f>
        <v>0.28999999999999998</v>
      </c>
      <c r="L37" s="247">
        <f>0.12*$L$14/120</f>
        <v>0.02</v>
      </c>
      <c r="M37" s="247">
        <f t="shared" si="2"/>
        <v>0.31</v>
      </c>
    </row>
    <row r="38" spans="1:19" s="20" customFormat="1" ht="30" x14ac:dyDescent="0.25">
      <c r="A38" s="343">
        <v>43680</v>
      </c>
      <c r="B38" s="344" t="str">
        <f>'[10]15 стопа'!A11</f>
        <v>Рефлексотерапия микросистем стопы</v>
      </c>
      <c r="C38" s="128" t="s">
        <v>24</v>
      </c>
      <c r="D38" s="267"/>
      <c r="E38" s="345">
        <f>'[10]15 стопа'!G26</f>
        <v>14.02</v>
      </c>
      <c r="F38" s="346" t="s">
        <v>25</v>
      </c>
      <c r="G38" s="347">
        <f>'[10]15 стопа'!P29</f>
        <v>4.9000000000000004</v>
      </c>
      <c r="H38" s="267"/>
      <c r="I38" s="345">
        <f>'[10]15р стопа'!G26</f>
        <v>18.29</v>
      </c>
      <c r="J38" s="349" t="s">
        <v>25</v>
      </c>
      <c r="K38" s="273">
        <f>3.19*$K$14/110</f>
        <v>0.28999999999999998</v>
      </c>
      <c r="L38" s="247">
        <f>0.12*$L$14/120</f>
        <v>0.02</v>
      </c>
      <c r="M38" s="247">
        <f t="shared" si="2"/>
        <v>0.31</v>
      </c>
    </row>
    <row r="39" spans="1:19" s="20" customFormat="1" ht="45" x14ac:dyDescent="0.25">
      <c r="A39" s="343">
        <v>43711</v>
      </c>
      <c r="B39" s="344" t="str">
        <f>'[10]16 сигара'!A11</f>
        <v>Прогревание точек акупунктуры полынными сигарами</v>
      </c>
      <c r="C39" s="128" t="s">
        <v>24</v>
      </c>
      <c r="D39" s="267"/>
      <c r="E39" s="345">
        <f>'[10]16 сигара'!G26</f>
        <v>14.02</v>
      </c>
      <c r="F39" s="346" t="s">
        <v>25</v>
      </c>
      <c r="G39" s="347">
        <f>'[10]16 сигара'!P25</f>
        <v>1.64</v>
      </c>
      <c r="H39" s="267"/>
      <c r="I39" s="345">
        <f>'[10]16р сигара'!G26</f>
        <v>18.29</v>
      </c>
      <c r="J39" s="349" t="s">
        <v>25</v>
      </c>
      <c r="K39" s="273">
        <f>0*K14/110</f>
        <v>0</v>
      </c>
      <c r="L39" s="247">
        <f>0.64*L14/120</f>
        <v>0.10666666666666667</v>
      </c>
      <c r="M39" s="247">
        <f t="shared" si="2"/>
        <v>0.10666666666666667</v>
      </c>
    </row>
    <row r="40" spans="1:19" s="20" customFormat="1" ht="30" x14ac:dyDescent="0.25">
      <c r="A40" s="343">
        <v>43741</v>
      </c>
      <c r="B40" s="344" t="str">
        <f>'[10]17 минимоксы'!A11</f>
        <v>Прогревание точек акупунктуры минимоксами</v>
      </c>
      <c r="C40" s="128" t="s">
        <v>24</v>
      </c>
      <c r="D40" s="267"/>
      <c r="E40" s="345">
        <f>'[10]17 минимоксы'!G26</f>
        <v>6.99</v>
      </c>
      <c r="F40" s="346" t="s">
        <v>25</v>
      </c>
      <c r="G40" s="347">
        <f>'[10]17 минимоксы'!P25</f>
        <v>2.42</v>
      </c>
      <c r="H40" s="267"/>
      <c r="I40" s="345">
        <f>'[10]17р минимоксы'!G26</f>
        <v>9.15</v>
      </c>
      <c r="J40" s="349" t="s">
        <v>25</v>
      </c>
      <c r="K40" s="273">
        <f>0*K14/110</f>
        <v>0</v>
      </c>
      <c r="L40" s="247">
        <f>1.42*L14/120</f>
        <v>0.23666666666666666</v>
      </c>
      <c r="M40" s="247">
        <f t="shared" si="2"/>
        <v>0.23666666666666666</v>
      </c>
    </row>
    <row r="41" spans="1:19" s="20" customFormat="1" ht="30.75" thickBot="1" x14ac:dyDescent="0.3">
      <c r="A41" s="309">
        <v>43772</v>
      </c>
      <c r="B41" s="197" t="str">
        <f>'[10]18 аурикулярная'!A11</f>
        <v>Аурикулярная рефлексотерапия</v>
      </c>
      <c r="C41" s="198" t="s">
        <v>24</v>
      </c>
      <c r="D41" s="311"/>
      <c r="E41" s="312">
        <f>'[10]18 аурикулярная'!G26</f>
        <v>21.07</v>
      </c>
      <c r="F41" s="313" t="s">
        <v>25</v>
      </c>
      <c r="G41" s="314">
        <f>'[10]18 аурикулярная'!P29</f>
        <v>4.38</v>
      </c>
      <c r="H41" s="311"/>
      <c r="I41" s="312">
        <f>'[10]18р аурикулярная '!G26</f>
        <v>27.44</v>
      </c>
      <c r="J41" s="316" t="s">
        <v>25</v>
      </c>
      <c r="K41" s="273">
        <f>2.73*K14/110</f>
        <v>0.2481818181818182</v>
      </c>
      <c r="L41" s="247">
        <f>0.117*L14/120</f>
        <v>1.9500000000000003E-2</v>
      </c>
      <c r="M41" s="247">
        <f t="shared" si="2"/>
        <v>0.26768181818181819</v>
      </c>
    </row>
    <row r="42" spans="1:19" s="20" customFormat="1" ht="15.75" thickBot="1" x14ac:dyDescent="0.25">
      <c r="A42" s="320">
        <v>43802</v>
      </c>
      <c r="B42" s="749" t="s">
        <v>186</v>
      </c>
      <c r="C42" s="749"/>
      <c r="D42" s="749"/>
      <c r="E42" s="749"/>
      <c r="F42" s="749"/>
      <c r="G42" s="749"/>
      <c r="H42" s="749"/>
      <c r="I42" s="749"/>
      <c r="J42" s="750"/>
      <c r="K42" s="273"/>
      <c r="L42" s="247"/>
      <c r="M42" s="247"/>
    </row>
    <row r="43" spans="1:19" s="20" customFormat="1" ht="60" x14ac:dyDescent="0.2">
      <c r="A43" s="326" t="s">
        <v>187</v>
      </c>
      <c r="B43" s="327" t="s">
        <v>188</v>
      </c>
      <c r="C43" s="189" t="s">
        <v>24</v>
      </c>
      <c r="D43" s="328"/>
      <c r="E43" s="307">
        <f>'[10]19 магнитопунктура'!G26</f>
        <v>10.51</v>
      </c>
      <c r="F43" s="329" t="s">
        <v>25</v>
      </c>
      <c r="G43" s="305">
        <f>'[10]19 магнитопунктура'!P27</f>
        <v>1.1100000000000001</v>
      </c>
      <c r="H43" s="328"/>
      <c r="I43" s="307">
        <f>'[10]19р магнитопунктура'!G26</f>
        <v>13.71</v>
      </c>
      <c r="J43" s="331" t="s">
        <v>25</v>
      </c>
      <c r="K43" s="273">
        <f>0.02*$K$14/110</f>
        <v>1.8181818181818182E-3</v>
      </c>
      <c r="L43" s="247">
        <f>0.057*$L$14/120</f>
        <v>9.5000000000000015E-3</v>
      </c>
      <c r="M43" s="247">
        <f>K43+L43</f>
        <v>1.1318181818181819E-2</v>
      </c>
    </row>
    <row r="44" spans="1:19" s="20" customFormat="1" ht="15.75" x14ac:dyDescent="0.25">
      <c r="A44" s="350" t="s">
        <v>189</v>
      </c>
      <c r="B44" s="344" t="str">
        <f>'[10]20 магнитолазеро'!A11</f>
        <v>Магнитолазеропунктура</v>
      </c>
      <c r="C44" s="128" t="s">
        <v>24</v>
      </c>
      <c r="D44" s="267"/>
      <c r="E44" s="345">
        <f>'[10]20 магнитолазеро'!G26</f>
        <v>14.02</v>
      </c>
      <c r="F44" s="346" t="s">
        <v>25</v>
      </c>
      <c r="G44" s="347">
        <f>'[10]20 магнитолазеро'!P26</f>
        <v>1.0900000000000001</v>
      </c>
      <c r="H44" s="267"/>
      <c r="I44" s="345">
        <f>'[10]20р магнитолазеро'!G26</f>
        <v>18.29</v>
      </c>
      <c r="J44" s="349" t="s">
        <v>25</v>
      </c>
      <c r="K44" s="273">
        <f>0*$K$14/110</f>
        <v>0</v>
      </c>
      <c r="L44" s="247">
        <f>0.06*$L$14/120</f>
        <v>0.01</v>
      </c>
      <c r="M44" s="247">
        <f t="shared" ref="M44:M47" si="3">K44+L44</f>
        <v>0.01</v>
      </c>
    </row>
    <row r="45" spans="1:19" s="20" customFormat="1" ht="45" x14ac:dyDescent="0.25">
      <c r="A45" s="350" t="s">
        <v>190</v>
      </c>
      <c r="B45" s="344" t="str">
        <f>'[10]21 светопунктура'!A11</f>
        <v>Светопунктура (видимым светом, поляризованным светом и др.)</v>
      </c>
      <c r="C45" s="128" t="s">
        <v>24</v>
      </c>
      <c r="D45" s="267"/>
      <c r="E45" s="345">
        <f>'[10]21 светопунктура'!G26</f>
        <v>17.54</v>
      </c>
      <c r="F45" s="346" t="s">
        <v>25</v>
      </c>
      <c r="G45" s="347">
        <f>'[10]21 светопунктура'!P25</f>
        <v>0.09</v>
      </c>
      <c r="H45" s="267"/>
      <c r="I45" s="345">
        <f>'[10]21р светопунктура'!G26</f>
        <v>22.85</v>
      </c>
      <c r="J45" s="349" t="s">
        <v>25</v>
      </c>
      <c r="K45" s="273">
        <f>0*K14/110</f>
        <v>0</v>
      </c>
      <c r="L45" s="247">
        <f>0.06*L14/120</f>
        <v>0.01</v>
      </c>
      <c r="M45" s="247">
        <f t="shared" si="3"/>
        <v>0.01</v>
      </c>
    </row>
    <row r="46" spans="1:19" s="20" customFormat="1" ht="15.75" x14ac:dyDescent="0.25">
      <c r="A46" s="350" t="s">
        <v>191</v>
      </c>
      <c r="B46" s="344" t="str">
        <f>'[10]22 лазеропунктура'!A11</f>
        <v>Лазеропунктура</v>
      </c>
      <c r="C46" s="128" t="s">
        <v>24</v>
      </c>
      <c r="D46" s="267"/>
      <c r="E46" s="345">
        <f>'[10]22 лазеропунктура'!G26</f>
        <v>14.02</v>
      </c>
      <c r="F46" s="346" t="s">
        <v>25</v>
      </c>
      <c r="G46" s="347">
        <f>'[10]22 лазеропунктура'!P26</f>
        <v>1.0900000000000001</v>
      </c>
      <c r="H46" s="267"/>
      <c r="I46" s="345">
        <f>'[10]22р лазеропунктура'!G26</f>
        <v>18.29</v>
      </c>
      <c r="J46" s="349" t="s">
        <v>25</v>
      </c>
      <c r="K46" s="273">
        <f>0*$K$14/110</f>
        <v>0</v>
      </c>
      <c r="L46" s="247">
        <f>0.06*$L$14/120</f>
        <v>0.01</v>
      </c>
      <c r="M46" s="247">
        <f t="shared" si="3"/>
        <v>0.01</v>
      </c>
    </row>
    <row r="47" spans="1:19" s="20" customFormat="1" ht="16.5" thickBot="1" x14ac:dyDescent="0.3">
      <c r="A47" s="332" t="s">
        <v>192</v>
      </c>
      <c r="B47" s="197" t="str">
        <f>'[10]23 вибропунктура'!A11</f>
        <v>Вибропунктура</v>
      </c>
      <c r="C47" s="198" t="s">
        <v>24</v>
      </c>
      <c r="D47" s="311"/>
      <c r="E47" s="312">
        <f>'[10]23 вибропунктура'!G26</f>
        <v>14.02</v>
      </c>
      <c r="F47" s="313" t="s">
        <v>25</v>
      </c>
      <c r="G47" s="314">
        <f>'[10]23 вибропунктура'!P26</f>
        <v>1.0900000000000001</v>
      </c>
      <c r="H47" s="311"/>
      <c r="I47" s="312">
        <f>'[10]23р вибропунктура'!G26</f>
        <v>18.29</v>
      </c>
      <c r="J47" s="316" t="s">
        <v>25</v>
      </c>
      <c r="K47" s="273">
        <f>0*$K$14/110</f>
        <v>0</v>
      </c>
      <c r="L47" s="247">
        <f>0.06*$L$14/120</f>
        <v>0.01</v>
      </c>
      <c r="M47" s="247">
        <f t="shared" si="3"/>
        <v>0.01</v>
      </c>
      <c r="P47" s="765" t="s">
        <v>193</v>
      </c>
      <c r="Q47" s="765"/>
      <c r="R47" s="765"/>
      <c r="S47" s="765"/>
    </row>
    <row r="48" spans="1:19" ht="15.75" thickBot="1" x14ac:dyDescent="0.25">
      <c r="A48" s="351" t="str">
        <f>[11]прейскурант!$A$16</f>
        <v>3.17.</v>
      </c>
      <c r="B48" s="749" t="str">
        <f>[11]прейскурант!$B$16:$J$16</f>
        <v>Восточный массаж вакуумный кинетический</v>
      </c>
      <c r="C48" s="749"/>
      <c r="D48" s="749"/>
      <c r="E48" s="749"/>
      <c r="F48" s="749"/>
      <c r="G48" s="749"/>
      <c r="H48" s="749"/>
      <c r="I48" s="749"/>
      <c r="J48" s="750"/>
      <c r="K48" s="10"/>
      <c r="L48" s="10"/>
      <c r="M48" s="10"/>
    </row>
    <row r="49" spans="1:13" ht="45" x14ac:dyDescent="0.25">
      <c r="A49" s="352" t="str">
        <f>[11]прейскурант!$A$17</f>
        <v>3.17.1</v>
      </c>
      <c r="B49" s="342" t="str">
        <f>[11]прейскурант!$B$17</f>
        <v>Восточный массаж вакуумный кинетический верхних конечностей</v>
      </c>
      <c r="C49" s="353" t="str">
        <f>[11]прейскурант!$C$17</f>
        <v>процедура</v>
      </c>
      <c r="D49" s="354"/>
      <c r="E49" s="355">
        <f>'[10]24 вер.кон.'!G26</f>
        <v>7.58</v>
      </c>
      <c r="F49" s="329" t="s">
        <v>25</v>
      </c>
      <c r="G49" s="190">
        <f>'[10]24 вер.кон.'!P30</f>
        <v>1.3</v>
      </c>
      <c r="H49" s="356"/>
      <c r="I49" s="355">
        <f>'[10]24р вер.кон.'!G26</f>
        <v>9.89</v>
      </c>
      <c r="J49" s="357" t="s">
        <v>25</v>
      </c>
      <c r="K49" s="64">
        <f>0.05*$K$14/110</f>
        <v>4.5454545454545452E-3</v>
      </c>
      <c r="L49" s="65">
        <f>1.25*$L$14/120</f>
        <v>0.20833333333333334</v>
      </c>
      <c r="M49" s="65">
        <f>K49+L49</f>
        <v>0.21287878787878789</v>
      </c>
    </row>
    <row r="50" spans="1:13" ht="60" x14ac:dyDescent="0.25">
      <c r="A50" s="195" t="str">
        <f>[11]прейскурант!$A$18</f>
        <v>3.17.2</v>
      </c>
      <c r="B50" s="344" t="str">
        <f>[11]прейскурант!$B$18</f>
        <v>Восточный массаж вакуумный кинетический передней поверхности грудной клетки</v>
      </c>
      <c r="C50" s="358" t="str">
        <f>[11]прейскурант!$C$18</f>
        <v>процедура</v>
      </c>
      <c r="D50" s="359"/>
      <c r="E50" s="360">
        <f>'[10]25 гр. кл.'!G26</f>
        <v>7.58</v>
      </c>
      <c r="F50" s="346" t="s">
        <v>25</v>
      </c>
      <c r="G50" s="192">
        <f>'[10]25 гр. кл.'!P30</f>
        <v>1.3</v>
      </c>
      <c r="H50" s="134"/>
      <c r="I50" s="360">
        <f>'[10]25р гр. кл.'!G26</f>
        <v>9.89</v>
      </c>
      <c r="J50" s="361" t="s">
        <v>25</v>
      </c>
      <c r="K50" s="64">
        <f t="shared" ref="K50:K53" si="4">0.05*$K$14/110</f>
        <v>4.5454545454545452E-3</v>
      </c>
      <c r="L50" s="65">
        <f>1.25*$L$14/120</f>
        <v>0.20833333333333334</v>
      </c>
      <c r="M50" s="65">
        <f t="shared" ref="M50:M53" si="5">K50+L50</f>
        <v>0.21287878787878789</v>
      </c>
    </row>
    <row r="51" spans="1:13" ht="45" x14ac:dyDescent="0.25">
      <c r="A51" s="195" t="str">
        <f>[11]прейскурант!$A$19</f>
        <v>3.17.3</v>
      </c>
      <c r="B51" s="344" t="str">
        <f>[11]прейскурант!$B$19</f>
        <v>Восточный массаж вакуумный кинетический спины</v>
      </c>
      <c r="C51" s="358" t="str">
        <f>[11]прейскурант!$C$19</f>
        <v>процедура</v>
      </c>
      <c r="D51" s="359"/>
      <c r="E51" s="360">
        <f>'[10]26 спин.'!G26</f>
        <v>7.58</v>
      </c>
      <c r="F51" s="346" t="s">
        <v>25</v>
      </c>
      <c r="G51" s="192">
        <f>'[10]26 спин.'!P30</f>
        <v>1.3</v>
      </c>
      <c r="H51" s="134"/>
      <c r="I51" s="360">
        <f>'[10]26р спин.'!G26</f>
        <v>9.89</v>
      </c>
      <c r="J51" s="361" t="s">
        <v>25</v>
      </c>
      <c r="K51" s="64">
        <f t="shared" si="4"/>
        <v>4.5454545454545452E-3</v>
      </c>
      <c r="L51" s="65">
        <f>1.25*$L$14/120</f>
        <v>0.20833333333333334</v>
      </c>
      <c r="M51" s="65">
        <f t="shared" si="5"/>
        <v>0.21287878787878789</v>
      </c>
    </row>
    <row r="52" spans="1:13" ht="45" x14ac:dyDescent="0.25">
      <c r="A52" s="195" t="str">
        <f>[11]прейскурант!$A$20</f>
        <v>3.17.4</v>
      </c>
      <c r="B52" s="344" t="str">
        <f>[11]прейскурант!$B$20</f>
        <v>Восточный массаж вакуумный кинетический поясницы</v>
      </c>
      <c r="C52" s="358" t="str">
        <f>[11]прейскурант!$C$20</f>
        <v>процедура</v>
      </c>
      <c r="D52" s="359"/>
      <c r="E52" s="360">
        <f>'[10]27 пояс.'!G26</f>
        <v>7.58</v>
      </c>
      <c r="F52" s="346" t="s">
        <v>25</v>
      </c>
      <c r="G52" s="192">
        <f>'[10]27 пояс.'!P30</f>
        <v>1.3</v>
      </c>
      <c r="H52" s="134"/>
      <c r="I52" s="360">
        <f>'[10]27р пояс.'!G26</f>
        <v>9.89</v>
      </c>
      <c r="J52" s="361" t="s">
        <v>25</v>
      </c>
      <c r="K52" s="64">
        <f t="shared" si="4"/>
        <v>4.5454545454545452E-3</v>
      </c>
      <c r="L52" s="65">
        <f>1.25*$L$14/120</f>
        <v>0.20833333333333334</v>
      </c>
      <c r="M52" s="65">
        <f t="shared" si="5"/>
        <v>0.21287878787878789</v>
      </c>
    </row>
    <row r="53" spans="1:13" ht="45.75" thickBot="1" x14ac:dyDescent="0.3">
      <c r="A53" s="362" t="str">
        <f>[11]прейскурант!$A$21</f>
        <v>3.17.5</v>
      </c>
      <c r="B53" s="197" t="str">
        <f>[11]прейскурант!$B$21</f>
        <v>Восточный массаж вакуумный кинетический нижних конечностей</v>
      </c>
      <c r="C53" s="363" t="str">
        <f>[11]прейскурант!$C$21</f>
        <v>процедура</v>
      </c>
      <c r="D53" s="364"/>
      <c r="E53" s="365">
        <f>'[10]28 ниж.кон.'!G26</f>
        <v>7.58</v>
      </c>
      <c r="F53" s="270" t="s">
        <v>25</v>
      </c>
      <c r="G53" s="366">
        <f>'[10]28 ниж.кон.'!P30</f>
        <v>1.3</v>
      </c>
      <c r="H53" s="367"/>
      <c r="I53" s="365">
        <f>'[10]28р ниж.кон.'!G26</f>
        <v>9.89</v>
      </c>
      <c r="J53" s="368" t="s">
        <v>25</v>
      </c>
      <c r="K53" s="64">
        <f t="shared" si="4"/>
        <v>4.5454545454545452E-3</v>
      </c>
      <c r="L53" s="65">
        <f>1.25*$L$14/120</f>
        <v>0.20833333333333334</v>
      </c>
      <c r="M53" s="65">
        <f t="shared" si="5"/>
        <v>0.21287878787878789</v>
      </c>
    </row>
    <row r="54" spans="1:13" ht="15.75" x14ac:dyDescent="0.25">
      <c r="A54" s="248"/>
      <c r="B54" s="249"/>
      <c r="C54" s="248"/>
      <c r="D54" s="250"/>
      <c r="E54" s="10"/>
      <c r="F54" s="10"/>
      <c r="G54" s="10"/>
      <c r="H54" s="10"/>
      <c r="I54" s="10"/>
      <c r="J54" s="10"/>
    </row>
    <row r="55" spans="1:13" ht="15.75" x14ac:dyDescent="0.25">
      <c r="A55" s="248"/>
      <c r="B55" s="249"/>
      <c r="C55" s="248"/>
      <c r="D55" s="250"/>
      <c r="E55" s="10"/>
      <c r="F55" s="10"/>
      <c r="G55" s="10"/>
      <c r="H55" s="10"/>
      <c r="I55" s="10"/>
      <c r="J55" s="10"/>
    </row>
    <row r="56" spans="1:13" x14ac:dyDescent="0.25">
      <c r="A56" s="10"/>
      <c r="B56" s="87"/>
      <c r="C56" s="10"/>
      <c r="D56" s="10"/>
      <c r="E56" s="10"/>
      <c r="F56" s="10"/>
      <c r="G56" s="10"/>
      <c r="H56" s="10"/>
      <c r="I56" s="10"/>
      <c r="J56" s="10"/>
    </row>
    <row r="57" spans="1:13" x14ac:dyDescent="0.25">
      <c r="A57" s="10" t="s">
        <v>194</v>
      </c>
      <c r="B57" s="10"/>
      <c r="C57" s="10"/>
      <c r="D57" s="10"/>
      <c r="E57" s="10"/>
      <c r="H57" s="10"/>
      <c r="I57" s="113" t="s">
        <v>83</v>
      </c>
      <c r="J57" s="10"/>
    </row>
    <row r="58" spans="1:13" x14ac:dyDescent="0.25">
      <c r="A58" s="10"/>
      <c r="B58" s="10"/>
      <c r="C58" s="10"/>
      <c r="D58" s="10"/>
      <c r="E58" s="10"/>
      <c r="H58" s="10"/>
      <c r="J58" s="10"/>
    </row>
    <row r="59" spans="1:13" x14ac:dyDescent="0.25">
      <c r="A59" s="10" t="s">
        <v>57</v>
      </c>
      <c r="B59" s="10"/>
      <c r="C59" s="10"/>
      <c r="D59" s="10"/>
      <c r="E59" s="10"/>
      <c r="H59" s="10"/>
      <c r="I59" s="3" t="s">
        <v>58</v>
      </c>
      <c r="J59" s="10"/>
    </row>
    <row r="60" spans="1:13" x14ac:dyDescent="0.25">
      <c r="A60" s="10"/>
      <c r="B60" s="10"/>
      <c r="C60" s="10"/>
      <c r="D60" s="10"/>
      <c r="E60" s="10"/>
      <c r="H60" s="10"/>
      <c r="J60" s="10"/>
    </row>
    <row r="61" spans="1:13" x14ac:dyDescent="0.25">
      <c r="A61" s="10" t="s">
        <v>195</v>
      </c>
      <c r="B61" s="10"/>
      <c r="C61" s="10"/>
      <c r="D61" s="10"/>
      <c r="E61" s="10"/>
      <c r="H61" s="10"/>
      <c r="I61" s="113" t="s">
        <v>60</v>
      </c>
      <c r="J61" s="10"/>
    </row>
    <row r="62" spans="1:13" x14ac:dyDescent="0.25">
      <c r="A62" s="10"/>
      <c r="B62" s="10"/>
      <c r="C62" s="10"/>
      <c r="D62" s="10"/>
      <c r="E62" s="10"/>
      <c r="H62" s="10"/>
      <c r="I62" s="113"/>
      <c r="J62" s="10"/>
    </row>
    <row r="63" spans="1:13" x14ac:dyDescent="0.25">
      <c r="A63" s="10"/>
      <c r="B63" s="10"/>
      <c r="C63" s="10"/>
      <c r="D63" s="10"/>
      <c r="E63" s="10"/>
      <c r="F63" s="113"/>
      <c r="G63" s="10"/>
      <c r="H63" s="10"/>
      <c r="I63" s="10"/>
      <c r="J63" s="10"/>
    </row>
    <row r="64" spans="1:13" x14ac:dyDescent="0.25">
      <c r="A64" s="10"/>
      <c r="B64" s="10"/>
      <c r="C64" s="10"/>
      <c r="D64" s="10"/>
      <c r="E64" s="10"/>
      <c r="F64" s="113"/>
      <c r="G64" s="10"/>
      <c r="H64" s="10"/>
      <c r="I64" s="10"/>
      <c r="J64" s="10"/>
    </row>
    <row r="65" spans="1:10" x14ac:dyDescent="0.25">
      <c r="A65" s="10"/>
      <c r="B65" s="10"/>
      <c r="C65" s="10"/>
      <c r="D65" s="10"/>
      <c r="E65" s="10"/>
      <c r="F65" s="113"/>
      <c r="G65" s="10"/>
      <c r="H65" s="10"/>
      <c r="I65" s="10"/>
      <c r="J65" s="10"/>
    </row>
    <row r="66" spans="1:10" x14ac:dyDescent="0.25">
      <c r="A66" s="10"/>
      <c r="B66" s="87"/>
      <c r="C66" s="10"/>
      <c r="D66" s="10"/>
      <c r="E66" s="10"/>
      <c r="F66" s="10"/>
      <c r="G66" s="10"/>
      <c r="H66" s="10"/>
      <c r="I66" s="10"/>
      <c r="J66" s="10"/>
    </row>
    <row r="67" spans="1:10" x14ac:dyDescent="0.25">
      <c r="A67" s="10"/>
      <c r="B67" s="87"/>
      <c r="C67" s="10"/>
      <c r="D67" s="10"/>
      <c r="E67" s="10"/>
      <c r="F67" s="10"/>
      <c r="G67" s="10"/>
      <c r="H67" s="10"/>
      <c r="I67" s="10"/>
      <c r="J67" s="10"/>
    </row>
    <row r="68" spans="1:10" x14ac:dyDescent="0.25">
      <c r="A68" s="10"/>
      <c r="B68" s="87"/>
      <c r="C68" s="10"/>
      <c r="D68" s="10"/>
      <c r="E68" s="10"/>
      <c r="F68" s="10"/>
      <c r="G68" s="10"/>
      <c r="H68" s="10"/>
      <c r="I68" s="10"/>
      <c r="J68" s="10"/>
    </row>
    <row r="69" spans="1:10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1" spans="1:10" x14ac:dyDescent="0.25">
      <c r="B71" s="20"/>
    </row>
    <row r="72" spans="1:10" x14ac:dyDescent="0.25">
      <c r="B72" s="20"/>
    </row>
    <row r="73" spans="1:10" x14ac:dyDescent="0.25">
      <c r="B73" s="20"/>
    </row>
  </sheetData>
  <mergeCells count="24">
    <mergeCell ref="E3:G3"/>
    <mergeCell ref="A7:J7"/>
    <mergeCell ref="A8:J8"/>
    <mergeCell ref="A9:J9"/>
    <mergeCell ref="A10:J10"/>
    <mergeCell ref="K13:M13"/>
    <mergeCell ref="A15:J15"/>
    <mergeCell ref="B16:J16"/>
    <mergeCell ref="B19:J19"/>
    <mergeCell ref="P47:S47"/>
    <mergeCell ref="B20:J20"/>
    <mergeCell ref="A13:A14"/>
    <mergeCell ref="B13:B14"/>
    <mergeCell ref="C13:C14"/>
    <mergeCell ref="E13:F13"/>
    <mergeCell ref="G13:G14"/>
    <mergeCell ref="H13:J13"/>
    <mergeCell ref="B48:J48"/>
    <mergeCell ref="B21:J21"/>
    <mergeCell ref="B23:J23"/>
    <mergeCell ref="B26:J26"/>
    <mergeCell ref="B28:J28"/>
    <mergeCell ref="B32:J32"/>
    <mergeCell ref="B42:J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zoomScale="60" zoomScaleNormal="60" workbookViewId="0"/>
  </sheetViews>
  <sheetFormatPr defaultRowHeight="15" x14ac:dyDescent="0.25"/>
  <cols>
    <col min="1" max="1" width="7.140625" style="3" customWidth="1"/>
    <col min="2" max="2" width="59.140625" style="3" customWidth="1"/>
    <col min="3" max="3" width="5.85546875" style="3" customWidth="1"/>
    <col min="4" max="4" width="15.7109375" style="3" customWidth="1"/>
    <col min="5" max="5" width="7" style="3" customWidth="1"/>
    <col min="6" max="6" width="14.85546875" style="3" customWidth="1"/>
    <col min="7" max="7" width="9.140625" style="3" hidden="1" customWidth="1"/>
    <col min="8" max="8" width="15.140625" style="3" customWidth="1"/>
    <col min="9" max="9" width="7.85546875" style="3" customWidth="1"/>
    <col min="10" max="12" width="0" style="3" hidden="1" customWidth="1"/>
    <col min="13" max="256" width="9.140625" style="3"/>
    <col min="257" max="257" width="7.140625" style="3" customWidth="1"/>
    <col min="258" max="258" width="59.140625" style="3" customWidth="1"/>
    <col min="259" max="259" width="5.85546875" style="3" customWidth="1"/>
    <col min="260" max="260" width="15.7109375" style="3" customWidth="1"/>
    <col min="261" max="261" width="7" style="3" customWidth="1"/>
    <col min="262" max="262" width="14.85546875" style="3" customWidth="1"/>
    <col min="263" max="263" width="0" style="3" hidden="1" customWidth="1"/>
    <col min="264" max="264" width="15.140625" style="3" customWidth="1"/>
    <col min="265" max="265" width="7.85546875" style="3" customWidth="1"/>
    <col min="266" max="268" width="0" style="3" hidden="1" customWidth="1"/>
    <col min="269" max="512" width="9.140625" style="3"/>
    <col min="513" max="513" width="7.140625" style="3" customWidth="1"/>
    <col min="514" max="514" width="59.140625" style="3" customWidth="1"/>
    <col min="515" max="515" width="5.85546875" style="3" customWidth="1"/>
    <col min="516" max="516" width="15.7109375" style="3" customWidth="1"/>
    <col min="517" max="517" width="7" style="3" customWidth="1"/>
    <col min="518" max="518" width="14.85546875" style="3" customWidth="1"/>
    <col min="519" max="519" width="0" style="3" hidden="1" customWidth="1"/>
    <col min="520" max="520" width="15.140625" style="3" customWidth="1"/>
    <col min="521" max="521" width="7.85546875" style="3" customWidth="1"/>
    <col min="522" max="524" width="0" style="3" hidden="1" customWidth="1"/>
    <col min="525" max="768" width="9.140625" style="3"/>
    <col min="769" max="769" width="7.140625" style="3" customWidth="1"/>
    <col min="770" max="770" width="59.140625" style="3" customWidth="1"/>
    <col min="771" max="771" width="5.85546875" style="3" customWidth="1"/>
    <col min="772" max="772" width="15.7109375" style="3" customWidth="1"/>
    <col min="773" max="773" width="7" style="3" customWidth="1"/>
    <col min="774" max="774" width="14.85546875" style="3" customWidth="1"/>
    <col min="775" max="775" width="0" style="3" hidden="1" customWidth="1"/>
    <col min="776" max="776" width="15.140625" style="3" customWidth="1"/>
    <col min="777" max="777" width="7.85546875" style="3" customWidth="1"/>
    <col min="778" max="780" width="0" style="3" hidden="1" customWidth="1"/>
    <col min="781" max="1024" width="9.140625" style="3"/>
    <col min="1025" max="1025" width="7.140625" style="3" customWidth="1"/>
    <col min="1026" max="1026" width="59.140625" style="3" customWidth="1"/>
    <col min="1027" max="1027" width="5.85546875" style="3" customWidth="1"/>
    <col min="1028" max="1028" width="15.7109375" style="3" customWidth="1"/>
    <col min="1029" max="1029" width="7" style="3" customWidth="1"/>
    <col min="1030" max="1030" width="14.85546875" style="3" customWidth="1"/>
    <col min="1031" max="1031" width="0" style="3" hidden="1" customWidth="1"/>
    <col min="1032" max="1032" width="15.140625" style="3" customWidth="1"/>
    <col min="1033" max="1033" width="7.85546875" style="3" customWidth="1"/>
    <col min="1034" max="1036" width="0" style="3" hidden="1" customWidth="1"/>
    <col min="1037" max="1280" width="9.140625" style="3"/>
    <col min="1281" max="1281" width="7.140625" style="3" customWidth="1"/>
    <col min="1282" max="1282" width="59.140625" style="3" customWidth="1"/>
    <col min="1283" max="1283" width="5.85546875" style="3" customWidth="1"/>
    <col min="1284" max="1284" width="15.7109375" style="3" customWidth="1"/>
    <col min="1285" max="1285" width="7" style="3" customWidth="1"/>
    <col min="1286" max="1286" width="14.85546875" style="3" customWidth="1"/>
    <col min="1287" max="1287" width="0" style="3" hidden="1" customWidth="1"/>
    <col min="1288" max="1288" width="15.140625" style="3" customWidth="1"/>
    <col min="1289" max="1289" width="7.85546875" style="3" customWidth="1"/>
    <col min="1290" max="1292" width="0" style="3" hidden="1" customWidth="1"/>
    <col min="1293" max="1536" width="9.140625" style="3"/>
    <col min="1537" max="1537" width="7.140625" style="3" customWidth="1"/>
    <col min="1538" max="1538" width="59.140625" style="3" customWidth="1"/>
    <col min="1539" max="1539" width="5.85546875" style="3" customWidth="1"/>
    <col min="1540" max="1540" width="15.7109375" style="3" customWidth="1"/>
    <col min="1541" max="1541" width="7" style="3" customWidth="1"/>
    <col min="1542" max="1542" width="14.85546875" style="3" customWidth="1"/>
    <col min="1543" max="1543" width="0" style="3" hidden="1" customWidth="1"/>
    <col min="1544" max="1544" width="15.140625" style="3" customWidth="1"/>
    <col min="1545" max="1545" width="7.85546875" style="3" customWidth="1"/>
    <col min="1546" max="1548" width="0" style="3" hidden="1" customWidth="1"/>
    <col min="1549" max="1792" width="9.140625" style="3"/>
    <col min="1793" max="1793" width="7.140625" style="3" customWidth="1"/>
    <col min="1794" max="1794" width="59.140625" style="3" customWidth="1"/>
    <col min="1795" max="1795" width="5.85546875" style="3" customWidth="1"/>
    <col min="1796" max="1796" width="15.7109375" style="3" customWidth="1"/>
    <col min="1797" max="1797" width="7" style="3" customWidth="1"/>
    <col min="1798" max="1798" width="14.85546875" style="3" customWidth="1"/>
    <col min="1799" max="1799" width="0" style="3" hidden="1" customWidth="1"/>
    <col min="1800" max="1800" width="15.140625" style="3" customWidth="1"/>
    <col min="1801" max="1801" width="7.85546875" style="3" customWidth="1"/>
    <col min="1802" max="1804" width="0" style="3" hidden="1" customWidth="1"/>
    <col min="1805" max="2048" width="9.140625" style="3"/>
    <col min="2049" max="2049" width="7.140625" style="3" customWidth="1"/>
    <col min="2050" max="2050" width="59.140625" style="3" customWidth="1"/>
    <col min="2051" max="2051" width="5.85546875" style="3" customWidth="1"/>
    <col min="2052" max="2052" width="15.7109375" style="3" customWidth="1"/>
    <col min="2053" max="2053" width="7" style="3" customWidth="1"/>
    <col min="2054" max="2054" width="14.85546875" style="3" customWidth="1"/>
    <col min="2055" max="2055" width="0" style="3" hidden="1" customWidth="1"/>
    <col min="2056" max="2056" width="15.140625" style="3" customWidth="1"/>
    <col min="2057" max="2057" width="7.85546875" style="3" customWidth="1"/>
    <col min="2058" max="2060" width="0" style="3" hidden="1" customWidth="1"/>
    <col min="2061" max="2304" width="9.140625" style="3"/>
    <col min="2305" max="2305" width="7.140625" style="3" customWidth="1"/>
    <col min="2306" max="2306" width="59.140625" style="3" customWidth="1"/>
    <col min="2307" max="2307" width="5.85546875" style="3" customWidth="1"/>
    <col min="2308" max="2308" width="15.7109375" style="3" customWidth="1"/>
    <col min="2309" max="2309" width="7" style="3" customWidth="1"/>
    <col min="2310" max="2310" width="14.85546875" style="3" customWidth="1"/>
    <col min="2311" max="2311" width="0" style="3" hidden="1" customWidth="1"/>
    <col min="2312" max="2312" width="15.140625" style="3" customWidth="1"/>
    <col min="2313" max="2313" width="7.85546875" style="3" customWidth="1"/>
    <col min="2314" max="2316" width="0" style="3" hidden="1" customWidth="1"/>
    <col min="2317" max="2560" width="9.140625" style="3"/>
    <col min="2561" max="2561" width="7.140625" style="3" customWidth="1"/>
    <col min="2562" max="2562" width="59.140625" style="3" customWidth="1"/>
    <col min="2563" max="2563" width="5.85546875" style="3" customWidth="1"/>
    <col min="2564" max="2564" width="15.7109375" style="3" customWidth="1"/>
    <col min="2565" max="2565" width="7" style="3" customWidth="1"/>
    <col min="2566" max="2566" width="14.85546875" style="3" customWidth="1"/>
    <col min="2567" max="2567" width="0" style="3" hidden="1" customWidth="1"/>
    <col min="2568" max="2568" width="15.140625" style="3" customWidth="1"/>
    <col min="2569" max="2569" width="7.85546875" style="3" customWidth="1"/>
    <col min="2570" max="2572" width="0" style="3" hidden="1" customWidth="1"/>
    <col min="2573" max="2816" width="9.140625" style="3"/>
    <col min="2817" max="2817" width="7.140625" style="3" customWidth="1"/>
    <col min="2818" max="2818" width="59.140625" style="3" customWidth="1"/>
    <col min="2819" max="2819" width="5.85546875" style="3" customWidth="1"/>
    <col min="2820" max="2820" width="15.7109375" style="3" customWidth="1"/>
    <col min="2821" max="2821" width="7" style="3" customWidth="1"/>
    <col min="2822" max="2822" width="14.85546875" style="3" customWidth="1"/>
    <col min="2823" max="2823" width="0" style="3" hidden="1" customWidth="1"/>
    <col min="2824" max="2824" width="15.140625" style="3" customWidth="1"/>
    <col min="2825" max="2825" width="7.85546875" style="3" customWidth="1"/>
    <col min="2826" max="2828" width="0" style="3" hidden="1" customWidth="1"/>
    <col min="2829" max="3072" width="9.140625" style="3"/>
    <col min="3073" max="3073" width="7.140625" style="3" customWidth="1"/>
    <col min="3074" max="3074" width="59.140625" style="3" customWidth="1"/>
    <col min="3075" max="3075" width="5.85546875" style="3" customWidth="1"/>
    <col min="3076" max="3076" width="15.7109375" style="3" customWidth="1"/>
    <col min="3077" max="3077" width="7" style="3" customWidth="1"/>
    <col min="3078" max="3078" width="14.85546875" style="3" customWidth="1"/>
    <col min="3079" max="3079" width="0" style="3" hidden="1" customWidth="1"/>
    <col min="3080" max="3080" width="15.140625" style="3" customWidth="1"/>
    <col min="3081" max="3081" width="7.85546875" style="3" customWidth="1"/>
    <col min="3082" max="3084" width="0" style="3" hidden="1" customWidth="1"/>
    <col min="3085" max="3328" width="9.140625" style="3"/>
    <col min="3329" max="3329" width="7.140625" style="3" customWidth="1"/>
    <col min="3330" max="3330" width="59.140625" style="3" customWidth="1"/>
    <col min="3331" max="3331" width="5.85546875" style="3" customWidth="1"/>
    <col min="3332" max="3332" width="15.7109375" style="3" customWidth="1"/>
    <col min="3333" max="3333" width="7" style="3" customWidth="1"/>
    <col min="3334" max="3334" width="14.85546875" style="3" customWidth="1"/>
    <col min="3335" max="3335" width="0" style="3" hidden="1" customWidth="1"/>
    <col min="3336" max="3336" width="15.140625" style="3" customWidth="1"/>
    <col min="3337" max="3337" width="7.85546875" style="3" customWidth="1"/>
    <col min="3338" max="3340" width="0" style="3" hidden="1" customWidth="1"/>
    <col min="3341" max="3584" width="9.140625" style="3"/>
    <col min="3585" max="3585" width="7.140625" style="3" customWidth="1"/>
    <col min="3586" max="3586" width="59.140625" style="3" customWidth="1"/>
    <col min="3587" max="3587" width="5.85546875" style="3" customWidth="1"/>
    <col min="3588" max="3588" width="15.7109375" style="3" customWidth="1"/>
    <col min="3589" max="3589" width="7" style="3" customWidth="1"/>
    <col min="3590" max="3590" width="14.85546875" style="3" customWidth="1"/>
    <col min="3591" max="3591" width="0" style="3" hidden="1" customWidth="1"/>
    <col min="3592" max="3592" width="15.140625" style="3" customWidth="1"/>
    <col min="3593" max="3593" width="7.85546875" style="3" customWidth="1"/>
    <col min="3594" max="3596" width="0" style="3" hidden="1" customWidth="1"/>
    <col min="3597" max="3840" width="9.140625" style="3"/>
    <col min="3841" max="3841" width="7.140625" style="3" customWidth="1"/>
    <col min="3842" max="3842" width="59.140625" style="3" customWidth="1"/>
    <col min="3843" max="3843" width="5.85546875" style="3" customWidth="1"/>
    <col min="3844" max="3844" width="15.7109375" style="3" customWidth="1"/>
    <col min="3845" max="3845" width="7" style="3" customWidth="1"/>
    <col min="3846" max="3846" width="14.85546875" style="3" customWidth="1"/>
    <col min="3847" max="3847" width="0" style="3" hidden="1" customWidth="1"/>
    <col min="3848" max="3848" width="15.140625" style="3" customWidth="1"/>
    <col min="3849" max="3849" width="7.85546875" style="3" customWidth="1"/>
    <col min="3850" max="3852" width="0" style="3" hidden="1" customWidth="1"/>
    <col min="3853" max="4096" width="9.140625" style="3"/>
    <col min="4097" max="4097" width="7.140625" style="3" customWidth="1"/>
    <col min="4098" max="4098" width="59.140625" style="3" customWidth="1"/>
    <col min="4099" max="4099" width="5.85546875" style="3" customWidth="1"/>
    <col min="4100" max="4100" width="15.7109375" style="3" customWidth="1"/>
    <col min="4101" max="4101" width="7" style="3" customWidth="1"/>
    <col min="4102" max="4102" width="14.85546875" style="3" customWidth="1"/>
    <col min="4103" max="4103" width="0" style="3" hidden="1" customWidth="1"/>
    <col min="4104" max="4104" width="15.140625" style="3" customWidth="1"/>
    <col min="4105" max="4105" width="7.85546875" style="3" customWidth="1"/>
    <col min="4106" max="4108" width="0" style="3" hidden="1" customWidth="1"/>
    <col min="4109" max="4352" width="9.140625" style="3"/>
    <col min="4353" max="4353" width="7.140625" style="3" customWidth="1"/>
    <col min="4354" max="4354" width="59.140625" style="3" customWidth="1"/>
    <col min="4355" max="4355" width="5.85546875" style="3" customWidth="1"/>
    <col min="4356" max="4356" width="15.7109375" style="3" customWidth="1"/>
    <col min="4357" max="4357" width="7" style="3" customWidth="1"/>
    <col min="4358" max="4358" width="14.85546875" style="3" customWidth="1"/>
    <col min="4359" max="4359" width="0" style="3" hidden="1" customWidth="1"/>
    <col min="4360" max="4360" width="15.140625" style="3" customWidth="1"/>
    <col min="4361" max="4361" width="7.85546875" style="3" customWidth="1"/>
    <col min="4362" max="4364" width="0" style="3" hidden="1" customWidth="1"/>
    <col min="4365" max="4608" width="9.140625" style="3"/>
    <col min="4609" max="4609" width="7.140625" style="3" customWidth="1"/>
    <col min="4610" max="4610" width="59.140625" style="3" customWidth="1"/>
    <col min="4611" max="4611" width="5.85546875" style="3" customWidth="1"/>
    <col min="4612" max="4612" width="15.7109375" style="3" customWidth="1"/>
    <col min="4613" max="4613" width="7" style="3" customWidth="1"/>
    <col min="4614" max="4614" width="14.85546875" style="3" customWidth="1"/>
    <col min="4615" max="4615" width="0" style="3" hidden="1" customWidth="1"/>
    <col min="4616" max="4616" width="15.140625" style="3" customWidth="1"/>
    <col min="4617" max="4617" width="7.85546875" style="3" customWidth="1"/>
    <col min="4618" max="4620" width="0" style="3" hidden="1" customWidth="1"/>
    <col min="4621" max="4864" width="9.140625" style="3"/>
    <col min="4865" max="4865" width="7.140625" style="3" customWidth="1"/>
    <col min="4866" max="4866" width="59.140625" style="3" customWidth="1"/>
    <col min="4867" max="4867" width="5.85546875" style="3" customWidth="1"/>
    <col min="4868" max="4868" width="15.7109375" style="3" customWidth="1"/>
    <col min="4869" max="4869" width="7" style="3" customWidth="1"/>
    <col min="4870" max="4870" width="14.85546875" style="3" customWidth="1"/>
    <col min="4871" max="4871" width="0" style="3" hidden="1" customWidth="1"/>
    <col min="4872" max="4872" width="15.140625" style="3" customWidth="1"/>
    <col min="4873" max="4873" width="7.85546875" style="3" customWidth="1"/>
    <col min="4874" max="4876" width="0" style="3" hidden="1" customWidth="1"/>
    <col min="4877" max="5120" width="9.140625" style="3"/>
    <col min="5121" max="5121" width="7.140625" style="3" customWidth="1"/>
    <col min="5122" max="5122" width="59.140625" style="3" customWidth="1"/>
    <col min="5123" max="5123" width="5.85546875" style="3" customWidth="1"/>
    <col min="5124" max="5124" width="15.7109375" style="3" customWidth="1"/>
    <col min="5125" max="5125" width="7" style="3" customWidth="1"/>
    <col min="5126" max="5126" width="14.85546875" style="3" customWidth="1"/>
    <col min="5127" max="5127" width="0" style="3" hidden="1" customWidth="1"/>
    <col min="5128" max="5128" width="15.140625" style="3" customWidth="1"/>
    <col min="5129" max="5129" width="7.85546875" style="3" customWidth="1"/>
    <col min="5130" max="5132" width="0" style="3" hidden="1" customWidth="1"/>
    <col min="5133" max="5376" width="9.140625" style="3"/>
    <col min="5377" max="5377" width="7.140625" style="3" customWidth="1"/>
    <col min="5378" max="5378" width="59.140625" style="3" customWidth="1"/>
    <col min="5379" max="5379" width="5.85546875" style="3" customWidth="1"/>
    <col min="5380" max="5380" width="15.7109375" style="3" customWidth="1"/>
    <col min="5381" max="5381" width="7" style="3" customWidth="1"/>
    <col min="5382" max="5382" width="14.85546875" style="3" customWidth="1"/>
    <col min="5383" max="5383" width="0" style="3" hidden="1" customWidth="1"/>
    <col min="5384" max="5384" width="15.140625" style="3" customWidth="1"/>
    <col min="5385" max="5385" width="7.85546875" style="3" customWidth="1"/>
    <col min="5386" max="5388" width="0" style="3" hidden="1" customWidth="1"/>
    <col min="5389" max="5632" width="9.140625" style="3"/>
    <col min="5633" max="5633" width="7.140625" style="3" customWidth="1"/>
    <col min="5634" max="5634" width="59.140625" style="3" customWidth="1"/>
    <col min="5635" max="5635" width="5.85546875" style="3" customWidth="1"/>
    <col min="5636" max="5636" width="15.7109375" style="3" customWidth="1"/>
    <col min="5637" max="5637" width="7" style="3" customWidth="1"/>
    <col min="5638" max="5638" width="14.85546875" style="3" customWidth="1"/>
    <col min="5639" max="5639" width="0" style="3" hidden="1" customWidth="1"/>
    <col min="5640" max="5640" width="15.140625" style="3" customWidth="1"/>
    <col min="5641" max="5641" width="7.85546875" style="3" customWidth="1"/>
    <col min="5642" max="5644" width="0" style="3" hidden="1" customWidth="1"/>
    <col min="5645" max="5888" width="9.140625" style="3"/>
    <col min="5889" max="5889" width="7.140625" style="3" customWidth="1"/>
    <col min="5890" max="5890" width="59.140625" style="3" customWidth="1"/>
    <col min="5891" max="5891" width="5.85546875" style="3" customWidth="1"/>
    <col min="5892" max="5892" width="15.7109375" style="3" customWidth="1"/>
    <col min="5893" max="5893" width="7" style="3" customWidth="1"/>
    <col min="5894" max="5894" width="14.85546875" style="3" customWidth="1"/>
    <col min="5895" max="5895" width="0" style="3" hidden="1" customWidth="1"/>
    <col min="5896" max="5896" width="15.140625" style="3" customWidth="1"/>
    <col min="5897" max="5897" width="7.85546875" style="3" customWidth="1"/>
    <col min="5898" max="5900" width="0" style="3" hidden="1" customWidth="1"/>
    <col min="5901" max="6144" width="9.140625" style="3"/>
    <col min="6145" max="6145" width="7.140625" style="3" customWidth="1"/>
    <col min="6146" max="6146" width="59.140625" style="3" customWidth="1"/>
    <col min="6147" max="6147" width="5.85546875" style="3" customWidth="1"/>
    <col min="6148" max="6148" width="15.7109375" style="3" customWidth="1"/>
    <col min="6149" max="6149" width="7" style="3" customWidth="1"/>
    <col min="6150" max="6150" width="14.85546875" style="3" customWidth="1"/>
    <col min="6151" max="6151" width="0" style="3" hidden="1" customWidth="1"/>
    <col min="6152" max="6152" width="15.140625" style="3" customWidth="1"/>
    <col min="6153" max="6153" width="7.85546875" style="3" customWidth="1"/>
    <col min="6154" max="6156" width="0" style="3" hidden="1" customWidth="1"/>
    <col min="6157" max="6400" width="9.140625" style="3"/>
    <col min="6401" max="6401" width="7.140625" style="3" customWidth="1"/>
    <col min="6402" max="6402" width="59.140625" style="3" customWidth="1"/>
    <col min="6403" max="6403" width="5.85546875" style="3" customWidth="1"/>
    <col min="6404" max="6404" width="15.7109375" style="3" customWidth="1"/>
    <col min="6405" max="6405" width="7" style="3" customWidth="1"/>
    <col min="6406" max="6406" width="14.85546875" style="3" customWidth="1"/>
    <col min="6407" max="6407" width="0" style="3" hidden="1" customWidth="1"/>
    <col min="6408" max="6408" width="15.140625" style="3" customWidth="1"/>
    <col min="6409" max="6409" width="7.85546875" style="3" customWidth="1"/>
    <col min="6410" max="6412" width="0" style="3" hidden="1" customWidth="1"/>
    <col min="6413" max="6656" width="9.140625" style="3"/>
    <col min="6657" max="6657" width="7.140625" style="3" customWidth="1"/>
    <col min="6658" max="6658" width="59.140625" style="3" customWidth="1"/>
    <col min="6659" max="6659" width="5.85546875" style="3" customWidth="1"/>
    <col min="6660" max="6660" width="15.7109375" style="3" customWidth="1"/>
    <col min="6661" max="6661" width="7" style="3" customWidth="1"/>
    <col min="6662" max="6662" width="14.85546875" style="3" customWidth="1"/>
    <col min="6663" max="6663" width="0" style="3" hidden="1" customWidth="1"/>
    <col min="6664" max="6664" width="15.140625" style="3" customWidth="1"/>
    <col min="6665" max="6665" width="7.85546875" style="3" customWidth="1"/>
    <col min="6666" max="6668" width="0" style="3" hidden="1" customWidth="1"/>
    <col min="6669" max="6912" width="9.140625" style="3"/>
    <col min="6913" max="6913" width="7.140625" style="3" customWidth="1"/>
    <col min="6914" max="6914" width="59.140625" style="3" customWidth="1"/>
    <col min="6915" max="6915" width="5.85546875" style="3" customWidth="1"/>
    <col min="6916" max="6916" width="15.7109375" style="3" customWidth="1"/>
    <col min="6917" max="6917" width="7" style="3" customWidth="1"/>
    <col min="6918" max="6918" width="14.85546875" style="3" customWidth="1"/>
    <col min="6919" max="6919" width="0" style="3" hidden="1" customWidth="1"/>
    <col min="6920" max="6920" width="15.140625" style="3" customWidth="1"/>
    <col min="6921" max="6921" width="7.85546875" style="3" customWidth="1"/>
    <col min="6922" max="6924" width="0" style="3" hidden="1" customWidth="1"/>
    <col min="6925" max="7168" width="9.140625" style="3"/>
    <col min="7169" max="7169" width="7.140625" style="3" customWidth="1"/>
    <col min="7170" max="7170" width="59.140625" style="3" customWidth="1"/>
    <col min="7171" max="7171" width="5.85546875" style="3" customWidth="1"/>
    <col min="7172" max="7172" width="15.7109375" style="3" customWidth="1"/>
    <col min="7173" max="7173" width="7" style="3" customWidth="1"/>
    <col min="7174" max="7174" width="14.85546875" style="3" customWidth="1"/>
    <col min="7175" max="7175" width="0" style="3" hidden="1" customWidth="1"/>
    <col min="7176" max="7176" width="15.140625" style="3" customWidth="1"/>
    <col min="7177" max="7177" width="7.85546875" style="3" customWidth="1"/>
    <col min="7178" max="7180" width="0" style="3" hidden="1" customWidth="1"/>
    <col min="7181" max="7424" width="9.140625" style="3"/>
    <col min="7425" max="7425" width="7.140625" style="3" customWidth="1"/>
    <col min="7426" max="7426" width="59.140625" style="3" customWidth="1"/>
    <col min="7427" max="7427" width="5.85546875" style="3" customWidth="1"/>
    <col min="7428" max="7428" width="15.7109375" style="3" customWidth="1"/>
    <col min="7429" max="7429" width="7" style="3" customWidth="1"/>
    <col min="7430" max="7430" width="14.85546875" style="3" customWidth="1"/>
    <col min="7431" max="7431" width="0" style="3" hidden="1" customWidth="1"/>
    <col min="7432" max="7432" width="15.140625" style="3" customWidth="1"/>
    <col min="7433" max="7433" width="7.85546875" style="3" customWidth="1"/>
    <col min="7434" max="7436" width="0" style="3" hidden="1" customWidth="1"/>
    <col min="7437" max="7680" width="9.140625" style="3"/>
    <col min="7681" max="7681" width="7.140625" style="3" customWidth="1"/>
    <col min="7682" max="7682" width="59.140625" style="3" customWidth="1"/>
    <col min="7683" max="7683" width="5.85546875" style="3" customWidth="1"/>
    <col min="7684" max="7684" width="15.7109375" style="3" customWidth="1"/>
    <col min="7685" max="7685" width="7" style="3" customWidth="1"/>
    <col min="7686" max="7686" width="14.85546875" style="3" customWidth="1"/>
    <col min="7687" max="7687" width="0" style="3" hidden="1" customWidth="1"/>
    <col min="7688" max="7688" width="15.140625" style="3" customWidth="1"/>
    <col min="7689" max="7689" width="7.85546875" style="3" customWidth="1"/>
    <col min="7690" max="7692" width="0" style="3" hidden="1" customWidth="1"/>
    <col min="7693" max="7936" width="9.140625" style="3"/>
    <col min="7937" max="7937" width="7.140625" style="3" customWidth="1"/>
    <col min="7938" max="7938" width="59.140625" style="3" customWidth="1"/>
    <col min="7939" max="7939" width="5.85546875" style="3" customWidth="1"/>
    <col min="7940" max="7940" width="15.7109375" style="3" customWidth="1"/>
    <col min="7941" max="7941" width="7" style="3" customWidth="1"/>
    <col min="7942" max="7942" width="14.85546875" style="3" customWidth="1"/>
    <col min="7943" max="7943" width="0" style="3" hidden="1" customWidth="1"/>
    <col min="7944" max="7944" width="15.140625" style="3" customWidth="1"/>
    <col min="7945" max="7945" width="7.85546875" style="3" customWidth="1"/>
    <col min="7946" max="7948" width="0" style="3" hidden="1" customWidth="1"/>
    <col min="7949" max="8192" width="9.140625" style="3"/>
    <col min="8193" max="8193" width="7.140625" style="3" customWidth="1"/>
    <col min="8194" max="8194" width="59.140625" style="3" customWidth="1"/>
    <col min="8195" max="8195" width="5.85546875" style="3" customWidth="1"/>
    <col min="8196" max="8196" width="15.7109375" style="3" customWidth="1"/>
    <col min="8197" max="8197" width="7" style="3" customWidth="1"/>
    <col min="8198" max="8198" width="14.85546875" style="3" customWidth="1"/>
    <col min="8199" max="8199" width="0" style="3" hidden="1" customWidth="1"/>
    <col min="8200" max="8200" width="15.140625" style="3" customWidth="1"/>
    <col min="8201" max="8201" width="7.85546875" style="3" customWidth="1"/>
    <col min="8202" max="8204" width="0" style="3" hidden="1" customWidth="1"/>
    <col min="8205" max="8448" width="9.140625" style="3"/>
    <col min="8449" max="8449" width="7.140625" style="3" customWidth="1"/>
    <col min="8450" max="8450" width="59.140625" style="3" customWidth="1"/>
    <col min="8451" max="8451" width="5.85546875" style="3" customWidth="1"/>
    <col min="8452" max="8452" width="15.7109375" style="3" customWidth="1"/>
    <col min="8453" max="8453" width="7" style="3" customWidth="1"/>
    <col min="8454" max="8454" width="14.85546875" style="3" customWidth="1"/>
    <col min="8455" max="8455" width="0" style="3" hidden="1" customWidth="1"/>
    <col min="8456" max="8456" width="15.140625" style="3" customWidth="1"/>
    <col min="8457" max="8457" width="7.85546875" style="3" customWidth="1"/>
    <col min="8458" max="8460" width="0" style="3" hidden="1" customWidth="1"/>
    <col min="8461" max="8704" width="9.140625" style="3"/>
    <col min="8705" max="8705" width="7.140625" style="3" customWidth="1"/>
    <col min="8706" max="8706" width="59.140625" style="3" customWidth="1"/>
    <col min="8707" max="8707" width="5.85546875" style="3" customWidth="1"/>
    <col min="8708" max="8708" width="15.7109375" style="3" customWidth="1"/>
    <col min="8709" max="8709" width="7" style="3" customWidth="1"/>
    <col min="8710" max="8710" width="14.85546875" style="3" customWidth="1"/>
    <col min="8711" max="8711" width="0" style="3" hidden="1" customWidth="1"/>
    <col min="8712" max="8712" width="15.140625" style="3" customWidth="1"/>
    <col min="8713" max="8713" width="7.85546875" style="3" customWidth="1"/>
    <col min="8714" max="8716" width="0" style="3" hidden="1" customWidth="1"/>
    <col min="8717" max="8960" width="9.140625" style="3"/>
    <col min="8961" max="8961" width="7.140625" style="3" customWidth="1"/>
    <col min="8962" max="8962" width="59.140625" style="3" customWidth="1"/>
    <col min="8963" max="8963" width="5.85546875" style="3" customWidth="1"/>
    <col min="8964" max="8964" width="15.7109375" style="3" customWidth="1"/>
    <col min="8965" max="8965" width="7" style="3" customWidth="1"/>
    <col min="8966" max="8966" width="14.85546875" style="3" customWidth="1"/>
    <col min="8967" max="8967" width="0" style="3" hidden="1" customWidth="1"/>
    <col min="8968" max="8968" width="15.140625" style="3" customWidth="1"/>
    <col min="8969" max="8969" width="7.85546875" style="3" customWidth="1"/>
    <col min="8970" max="8972" width="0" style="3" hidden="1" customWidth="1"/>
    <col min="8973" max="9216" width="9.140625" style="3"/>
    <col min="9217" max="9217" width="7.140625" style="3" customWidth="1"/>
    <col min="9218" max="9218" width="59.140625" style="3" customWidth="1"/>
    <col min="9219" max="9219" width="5.85546875" style="3" customWidth="1"/>
    <col min="9220" max="9220" width="15.7109375" style="3" customWidth="1"/>
    <col min="9221" max="9221" width="7" style="3" customWidth="1"/>
    <col min="9222" max="9222" width="14.85546875" style="3" customWidth="1"/>
    <col min="9223" max="9223" width="0" style="3" hidden="1" customWidth="1"/>
    <col min="9224" max="9224" width="15.140625" style="3" customWidth="1"/>
    <col min="9225" max="9225" width="7.85546875" style="3" customWidth="1"/>
    <col min="9226" max="9228" width="0" style="3" hidden="1" customWidth="1"/>
    <col min="9229" max="9472" width="9.140625" style="3"/>
    <col min="9473" max="9473" width="7.140625" style="3" customWidth="1"/>
    <col min="9474" max="9474" width="59.140625" style="3" customWidth="1"/>
    <col min="9475" max="9475" width="5.85546875" style="3" customWidth="1"/>
    <col min="9476" max="9476" width="15.7109375" style="3" customWidth="1"/>
    <col min="9477" max="9477" width="7" style="3" customWidth="1"/>
    <col min="9478" max="9478" width="14.85546875" style="3" customWidth="1"/>
    <col min="9479" max="9479" width="0" style="3" hidden="1" customWidth="1"/>
    <col min="9480" max="9480" width="15.140625" style="3" customWidth="1"/>
    <col min="9481" max="9481" width="7.85546875" style="3" customWidth="1"/>
    <col min="9482" max="9484" width="0" style="3" hidden="1" customWidth="1"/>
    <col min="9485" max="9728" width="9.140625" style="3"/>
    <col min="9729" max="9729" width="7.140625" style="3" customWidth="1"/>
    <col min="9730" max="9730" width="59.140625" style="3" customWidth="1"/>
    <col min="9731" max="9731" width="5.85546875" style="3" customWidth="1"/>
    <col min="9732" max="9732" width="15.7109375" style="3" customWidth="1"/>
    <col min="9733" max="9733" width="7" style="3" customWidth="1"/>
    <col min="9734" max="9734" width="14.85546875" style="3" customWidth="1"/>
    <col min="9735" max="9735" width="0" style="3" hidden="1" customWidth="1"/>
    <col min="9736" max="9736" width="15.140625" style="3" customWidth="1"/>
    <col min="9737" max="9737" width="7.85546875" style="3" customWidth="1"/>
    <col min="9738" max="9740" width="0" style="3" hidden="1" customWidth="1"/>
    <col min="9741" max="9984" width="9.140625" style="3"/>
    <col min="9985" max="9985" width="7.140625" style="3" customWidth="1"/>
    <col min="9986" max="9986" width="59.140625" style="3" customWidth="1"/>
    <col min="9987" max="9987" width="5.85546875" style="3" customWidth="1"/>
    <col min="9988" max="9988" width="15.7109375" style="3" customWidth="1"/>
    <col min="9989" max="9989" width="7" style="3" customWidth="1"/>
    <col min="9990" max="9990" width="14.85546875" style="3" customWidth="1"/>
    <col min="9991" max="9991" width="0" style="3" hidden="1" customWidth="1"/>
    <col min="9992" max="9992" width="15.140625" style="3" customWidth="1"/>
    <col min="9993" max="9993" width="7.85546875" style="3" customWidth="1"/>
    <col min="9994" max="9996" width="0" style="3" hidden="1" customWidth="1"/>
    <col min="9997" max="10240" width="9.140625" style="3"/>
    <col min="10241" max="10241" width="7.140625" style="3" customWidth="1"/>
    <col min="10242" max="10242" width="59.140625" style="3" customWidth="1"/>
    <col min="10243" max="10243" width="5.85546875" style="3" customWidth="1"/>
    <col min="10244" max="10244" width="15.7109375" style="3" customWidth="1"/>
    <col min="10245" max="10245" width="7" style="3" customWidth="1"/>
    <col min="10246" max="10246" width="14.85546875" style="3" customWidth="1"/>
    <col min="10247" max="10247" width="0" style="3" hidden="1" customWidth="1"/>
    <col min="10248" max="10248" width="15.140625" style="3" customWidth="1"/>
    <col min="10249" max="10249" width="7.85546875" style="3" customWidth="1"/>
    <col min="10250" max="10252" width="0" style="3" hidden="1" customWidth="1"/>
    <col min="10253" max="10496" width="9.140625" style="3"/>
    <col min="10497" max="10497" width="7.140625" style="3" customWidth="1"/>
    <col min="10498" max="10498" width="59.140625" style="3" customWidth="1"/>
    <col min="10499" max="10499" width="5.85546875" style="3" customWidth="1"/>
    <col min="10500" max="10500" width="15.7109375" style="3" customWidth="1"/>
    <col min="10501" max="10501" width="7" style="3" customWidth="1"/>
    <col min="10502" max="10502" width="14.85546875" style="3" customWidth="1"/>
    <col min="10503" max="10503" width="0" style="3" hidden="1" customWidth="1"/>
    <col min="10504" max="10504" width="15.140625" style="3" customWidth="1"/>
    <col min="10505" max="10505" width="7.85546875" style="3" customWidth="1"/>
    <col min="10506" max="10508" width="0" style="3" hidden="1" customWidth="1"/>
    <col min="10509" max="10752" width="9.140625" style="3"/>
    <col min="10753" max="10753" width="7.140625" style="3" customWidth="1"/>
    <col min="10754" max="10754" width="59.140625" style="3" customWidth="1"/>
    <col min="10755" max="10755" width="5.85546875" style="3" customWidth="1"/>
    <col min="10756" max="10756" width="15.7109375" style="3" customWidth="1"/>
    <col min="10757" max="10757" width="7" style="3" customWidth="1"/>
    <col min="10758" max="10758" width="14.85546875" style="3" customWidth="1"/>
    <col min="10759" max="10759" width="0" style="3" hidden="1" customWidth="1"/>
    <col min="10760" max="10760" width="15.140625" style="3" customWidth="1"/>
    <col min="10761" max="10761" width="7.85546875" style="3" customWidth="1"/>
    <col min="10762" max="10764" width="0" style="3" hidden="1" customWidth="1"/>
    <col min="10765" max="11008" width="9.140625" style="3"/>
    <col min="11009" max="11009" width="7.140625" style="3" customWidth="1"/>
    <col min="11010" max="11010" width="59.140625" style="3" customWidth="1"/>
    <col min="11011" max="11011" width="5.85546875" style="3" customWidth="1"/>
    <col min="11012" max="11012" width="15.7109375" style="3" customWidth="1"/>
    <col min="11013" max="11013" width="7" style="3" customWidth="1"/>
    <col min="11014" max="11014" width="14.85546875" style="3" customWidth="1"/>
    <col min="11015" max="11015" width="0" style="3" hidden="1" customWidth="1"/>
    <col min="11016" max="11016" width="15.140625" style="3" customWidth="1"/>
    <col min="11017" max="11017" width="7.85546875" style="3" customWidth="1"/>
    <col min="11018" max="11020" width="0" style="3" hidden="1" customWidth="1"/>
    <col min="11021" max="11264" width="9.140625" style="3"/>
    <col min="11265" max="11265" width="7.140625" style="3" customWidth="1"/>
    <col min="11266" max="11266" width="59.140625" style="3" customWidth="1"/>
    <col min="11267" max="11267" width="5.85546875" style="3" customWidth="1"/>
    <col min="11268" max="11268" width="15.7109375" style="3" customWidth="1"/>
    <col min="11269" max="11269" width="7" style="3" customWidth="1"/>
    <col min="11270" max="11270" width="14.85546875" style="3" customWidth="1"/>
    <col min="11271" max="11271" width="0" style="3" hidden="1" customWidth="1"/>
    <col min="11272" max="11272" width="15.140625" style="3" customWidth="1"/>
    <col min="11273" max="11273" width="7.85546875" style="3" customWidth="1"/>
    <col min="11274" max="11276" width="0" style="3" hidden="1" customWidth="1"/>
    <col min="11277" max="11520" width="9.140625" style="3"/>
    <col min="11521" max="11521" width="7.140625" style="3" customWidth="1"/>
    <col min="11522" max="11522" width="59.140625" style="3" customWidth="1"/>
    <col min="11523" max="11523" width="5.85546875" style="3" customWidth="1"/>
    <col min="11524" max="11524" width="15.7109375" style="3" customWidth="1"/>
    <col min="11525" max="11525" width="7" style="3" customWidth="1"/>
    <col min="11526" max="11526" width="14.85546875" style="3" customWidth="1"/>
    <col min="11527" max="11527" width="0" style="3" hidden="1" customWidth="1"/>
    <col min="11528" max="11528" width="15.140625" style="3" customWidth="1"/>
    <col min="11529" max="11529" width="7.85546875" style="3" customWidth="1"/>
    <col min="11530" max="11532" width="0" style="3" hidden="1" customWidth="1"/>
    <col min="11533" max="11776" width="9.140625" style="3"/>
    <col min="11777" max="11777" width="7.140625" style="3" customWidth="1"/>
    <col min="11778" max="11778" width="59.140625" style="3" customWidth="1"/>
    <col min="11779" max="11779" width="5.85546875" style="3" customWidth="1"/>
    <col min="11780" max="11780" width="15.7109375" style="3" customWidth="1"/>
    <col min="11781" max="11781" width="7" style="3" customWidth="1"/>
    <col min="11782" max="11782" width="14.85546875" style="3" customWidth="1"/>
    <col min="11783" max="11783" width="0" style="3" hidden="1" customWidth="1"/>
    <col min="11784" max="11784" width="15.140625" style="3" customWidth="1"/>
    <col min="11785" max="11785" width="7.85546875" style="3" customWidth="1"/>
    <col min="11786" max="11788" width="0" style="3" hidden="1" customWidth="1"/>
    <col min="11789" max="12032" width="9.140625" style="3"/>
    <col min="12033" max="12033" width="7.140625" style="3" customWidth="1"/>
    <col min="12034" max="12034" width="59.140625" style="3" customWidth="1"/>
    <col min="12035" max="12035" width="5.85546875" style="3" customWidth="1"/>
    <col min="12036" max="12036" width="15.7109375" style="3" customWidth="1"/>
    <col min="12037" max="12037" width="7" style="3" customWidth="1"/>
    <col min="12038" max="12038" width="14.85546875" style="3" customWidth="1"/>
    <col min="12039" max="12039" width="0" style="3" hidden="1" customWidth="1"/>
    <col min="12040" max="12040" width="15.140625" style="3" customWidth="1"/>
    <col min="12041" max="12041" width="7.85546875" style="3" customWidth="1"/>
    <col min="12042" max="12044" width="0" style="3" hidden="1" customWidth="1"/>
    <col min="12045" max="12288" width="9.140625" style="3"/>
    <col min="12289" max="12289" width="7.140625" style="3" customWidth="1"/>
    <col min="12290" max="12290" width="59.140625" style="3" customWidth="1"/>
    <col min="12291" max="12291" width="5.85546875" style="3" customWidth="1"/>
    <col min="12292" max="12292" width="15.7109375" style="3" customWidth="1"/>
    <col min="12293" max="12293" width="7" style="3" customWidth="1"/>
    <col min="12294" max="12294" width="14.85546875" style="3" customWidth="1"/>
    <col min="12295" max="12295" width="0" style="3" hidden="1" customWidth="1"/>
    <col min="12296" max="12296" width="15.140625" style="3" customWidth="1"/>
    <col min="12297" max="12297" width="7.85546875" style="3" customWidth="1"/>
    <col min="12298" max="12300" width="0" style="3" hidden="1" customWidth="1"/>
    <col min="12301" max="12544" width="9.140625" style="3"/>
    <col min="12545" max="12545" width="7.140625" style="3" customWidth="1"/>
    <col min="12546" max="12546" width="59.140625" style="3" customWidth="1"/>
    <col min="12547" max="12547" width="5.85546875" style="3" customWidth="1"/>
    <col min="12548" max="12548" width="15.7109375" style="3" customWidth="1"/>
    <col min="12549" max="12549" width="7" style="3" customWidth="1"/>
    <col min="12550" max="12550" width="14.85546875" style="3" customWidth="1"/>
    <col min="12551" max="12551" width="0" style="3" hidden="1" customWidth="1"/>
    <col min="12552" max="12552" width="15.140625" style="3" customWidth="1"/>
    <col min="12553" max="12553" width="7.85546875" style="3" customWidth="1"/>
    <col min="12554" max="12556" width="0" style="3" hidden="1" customWidth="1"/>
    <col min="12557" max="12800" width="9.140625" style="3"/>
    <col min="12801" max="12801" width="7.140625" style="3" customWidth="1"/>
    <col min="12802" max="12802" width="59.140625" style="3" customWidth="1"/>
    <col min="12803" max="12803" width="5.85546875" style="3" customWidth="1"/>
    <col min="12804" max="12804" width="15.7109375" style="3" customWidth="1"/>
    <col min="12805" max="12805" width="7" style="3" customWidth="1"/>
    <col min="12806" max="12806" width="14.85546875" style="3" customWidth="1"/>
    <col min="12807" max="12807" width="0" style="3" hidden="1" customWidth="1"/>
    <col min="12808" max="12808" width="15.140625" style="3" customWidth="1"/>
    <col min="12809" max="12809" width="7.85546875" style="3" customWidth="1"/>
    <col min="12810" max="12812" width="0" style="3" hidden="1" customWidth="1"/>
    <col min="12813" max="13056" width="9.140625" style="3"/>
    <col min="13057" max="13057" width="7.140625" style="3" customWidth="1"/>
    <col min="13058" max="13058" width="59.140625" style="3" customWidth="1"/>
    <col min="13059" max="13059" width="5.85546875" style="3" customWidth="1"/>
    <col min="13060" max="13060" width="15.7109375" style="3" customWidth="1"/>
    <col min="13061" max="13061" width="7" style="3" customWidth="1"/>
    <col min="13062" max="13062" width="14.85546875" style="3" customWidth="1"/>
    <col min="13063" max="13063" width="0" style="3" hidden="1" customWidth="1"/>
    <col min="13064" max="13064" width="15.140625" style="3" customWidth="1"/>
    <col min="13065" max="13065" width="7.85546875" style="3" customWidth="1"/>
    <col min="13066" max="13068" width="0" style="3" hidden="1" customWidth="1"/>
    <col min="13069" max="13312" width="9.140625" style="3"/>
    <col min="13313" max="13313" width="7.140625" style="3" customWidth="1"/>
    <col min="13314" max="13314" width="59.140625" style="3" customWidth="1"/>
    <col min="13315" max="13315" width="5.85546875" style="3" customWidth="1"/>
    <col min="13316" max="13316" width="15.7109375" style="3" customWidth="1"/>
    <col min="13317" max="13317" width="7" style="3" customWidth="1"/>
    <col min="13318" max="13318" width="14.85546875" style="3" customWidth="1"/>
    <col min="13319" max="13319" width="0" style="3" hidden="1" customWidth="1"/>
    <col min="13320" max="13320" width="15.140625" style="3" customWidth="1"/>
    <col min="13321" max="13321" width="7.85546875" style="3" customWidth="1"/>
    <col min="13322" max="13324" width="0" style="3" hidden="1" customWidth="1"/>
    <col min="13325" max="13568" width="9.140625" style="3"/>
    <col min="13569" max="13569" width="7.140625" style="3" customWidth="1"/>
    <col min="13570" max="13570" width="59.140625" style="3" customWidth="1"/>
    <col min="13571" max="13571" width="5.85546875" style="3" customWidth="1"/>
    <col min="13572" max="13572" width="15.7109375" style="3" customWidth="1"/>
    <col min="13573" max="13573" width="7" style="3" customWidth="1"/>
    <col min="13574" max="13574" width="14.85546875" style="3" customWidth="1"/>
    <col min="13575" max="13575" width="0" style="3" hidden="1" customWidth="1"/>
    <col min="13576" max="13576" width="15.140625" style="3" customWidth="1"/>
    <col min="13577" max="13577" width="7.85546875" style="3" customWidth="1"/>
    <col min="13578" max="13580" width="0" style="3" hidden="1" customWidth="1"/>
    <col min="13581" max="13824" width="9.140625" style="3"/>
    <col min="13825" max="13825" width="7.140625" style="3" customWidth="1"/>
    <col min="13826" max="13826" width="59.140625" style="3" customWidth="1"/>
    <col min="13827" max="13827" width="5.85546875" style="3" customWidth="1"/>
    <col min="13828" max="13828" width="15.7109375" style="3" customWidth="1"/>
    <col min="13829" max="13829" width="7" style="3" customWidth="1"/>
    <col min="13830" max="13830" width="14.85546875" style="3" customWidth="1"/>
    <col min="13831" max="13831" width="0" style="3" hidden="1" customWidth="1"/>
    <col min="13832" max="13832" width="15.140625" style="3" customWidth="1"/>
    <col min="13833" max="13833" width="7.85546875" style="3" customWidth="1"/>
    <col min="13834" max="13836" width="0" style="3" hidden="1" customWidth="1"/>
    <col min="13837" max="14080" width="9.140625" style="3"/>
    <col min="14081" max="14081" width="7.140625" style="3" customWidth="1"/>
    <col min="14082" max="14082" width="59.140625" style="3" customWidth="1"/>
    <col min="14083" max="14083" width="5.85546875" style="3" customWidth="1"/>
    <col min="14084" max="14084" width="15.7109375" style="3" customWidth="1"/>
    <col min="14085" max="14085" width="7" style="3" customWidth="1"/>
    <col min="14086" max="14086" width="14.85546875" style="3" customWidth="1"/>
    <col min="14087" max="14087" width="0" style="3" hidden="1" customWidth="1"/>
    <col min="14088" max="14088" width="15.140625" style="3" customWidth="1"/>
    <col min="14089" max="14089" width="7.85546875" style="3" customWidth="1"/>
    <col min="14090" max="14092" width="0" style="3" hidden="1" customWidth="1"/>
    <col min="14093" max="14336" width="9.140625" style="3"/>
    <col min="14337" max="14337" width="7.140625" style="3" customWidth="1"/>
    <col min="14338" max="14338" width="59.140625" style="3" customWidth="1"/>
    <col min="14339" max="14339" width="5.85546875" style="3" customWidth="1"/>
    <col min="14340" max="14340" width="15.7109375" style="3" customWidth="1"/>
    <col min="14341" max="14341" width="7" style="3" customWidth="1"/>
    <col min="14342" max="14342" width="14.85546875" style="3" customWidth="1"/>
    <col min="14343" max="14343" width="0" style="3" hidden="1" customWidth="1"/>
    <col min="14344" max="14344" width="15.140625" style="3" customWidth="1"/>
    <col min="14345" max="14345" width="7.85546875" style="3" customWidth="1"/>
    <col min="14346" max="14348" width="0" style="3" hidden="1" customWidth="1"/>
    <col min="14349" max="14592" width="9.140625" style="3"/>
    <col min="14593" max="14593" width="7.140625" style="3" customWidth="1"/>
    <col min="14594" max="14594" width="59.140625" style="3" customWidth="1"/>
    <col min="14595" max="14595" width="5.85546875" style="3" customWidth="1"/>
    <col min="14596" max="14596" width="15.7109375" style="3" customWidth="1"/>
    <col min="14597" max="14597" width="7" style="3" customWidth="1"/>
    <col min="14598" max="14598" width="14.85546875" style="3" customWidth="1"/>
    <col min="14599" max="14599" width="0" style="3" hidden="1" customWidth="1"/>
    <col min="14600" max="14600" width="15.140625" style="3" customWidth="1"/>
    <col min="14601" max="14601" width="7.85546875" style="3" customWidth="1"/>
    <col min="14602" max="14604" width="0" style="3" hidden="1" customWidth="1"/>
    <col min="14605" max="14848" width="9.140625" style="3"/>
    <col min="14849" max="14849" width="7.140625" style="3" customWidth="1"/>
    <col min="14850" max="14850" width="59.140625" style="3" customWidth="1"/>
    <col min="14851" max="14851" width="5.85546875" style="3" customWidth="1"/>
    <col min="14852" max="14852" width="15.7109375" style="3" customWidth="1"/>
    <col min="14853" max="14853" width="7" style="3" customWidth="1"/>
    <col min="14854" max="14854" width="14.85546875" style="3" customWidth="1"/>
    <col min="14855" max="14855" width="0" style="3" hidden="1" customWidth="1"/>
    <col min="14856" max="14856" width="15.140625" style="3" customWidth="1"/>
    <col min="14857" max="14857" width="7.85546875" style="3" customWidth="1"/>
    <col min="14858" max="14860" width="0" style="3" hidden="1" customWidth="1"/>
    <col min="14861" max="15104" width="9.140625" style="3"/>
    <col min="15105" max="15105" width="7.140625" style="3" customWidth="1"/>
    <col min="15106" max="15106" width="59.140625" style="3" customWidth="1"/>
    <col min="15107" max="15107" width="5.85546875" style="3" customWidth="1"/>
    <col min="15108" max="15108" width="15.7109375" style="3" customWidth="1"/>
    <col min="15109" max="15109" width="7" style="3" customWidth="1"/>
    <col min="15110" max="15110" width="14.85546875" style="3" customWidth="1"/>
    <col min="15111" max="15111" width="0" style="3" hidden="1" customWidth="1"/>
    <col min="15112" max="15112" width="15.140625" style="3" customWidth="1"/>
    <col min="15113" max="15113" width="7.85546875" style="3" customWidth="1"/>
    <col min="15114" max="15116" width="0" style="3" hidden="1" customWidth="1"/>
    <col min="15117" max="15360" width="9.140625" style="3"/>
    <col min="15361" max="15361" width="7.140625" style="3" customWidth="1"/>
    <col min="15362" max="15362" width="59.140625" style="3" customWidth="1"/>
    <col min="15363" max="15363" width="5.85546875" style="3" customWidth="1"/>
    <col min="15364" max="15364" width="15.7109375" style="3" customWidth="1"/>
    <col min="15365" max="15365" width="7" style="3" customWidth="1"/>
    <col min="15366" max="15366" width="14.85546875" style="3" customWidth="1"/>
    <col min="15367" max="15367" width="0" style="3" hidden="1" customWidth="1"/>
    <col min="15368" max="15368" width="15.140625" style="3" customWidth="1"/>
    <col min="15369" max="15369" width="7.85546875" style="3" customWidth="1"/>
    <col min="15370" max="15372" width="0" style="3" hidden="1" customWidth="1"/>
    <col min="15373" max="15616" width="9.140625" style="3"/>
    <col min="15617" max="15617" width="7.140625" style="3" customWidth="1"/>
    <col min="15618" max="15618" width="59.140625" style="3" customWidth="1"/>
    <col min="15619" max="15619" width="5.85546875" style="3" customWidth="1"/>
    <col min="15620" max="15620" width="15.7109375" style="3" customWidth="1"/>
    <col min="15621" max="15621" width="7" style="3" customWidth="1"/>
    <col min="15622" max="15622" width="14.85546875" style="3" customWidth="1"/>
    <col min="15623" max="15623" width="0" style="3" hidden="1" customWidth="1"/>
    <col min="15624" max="15624" width="15.140625" style="3" customWidth="1"/>
    <col min="15625" max="15625" width="7.85546875" style="3" customWidth="1"/>
    <col min="15626" max="15628" width="0" style="3" hidden="1" customWidth="1"/>
    <col min="15629" max="15872" width="9.140625" style="3"/>
    <col min="15873" max="15873" width="7.140625" style="3" customWidth="1"/>
    <col min="15874" max="15874" width="59.140625" style="3" customWidth="1"/>
    <col min="15875" max="15875" width="5.85546875" style="3" customWidth="1"/>
    <col min="15876" max="15876" width="15.7109375" style="3" customWidth="1"/>
    <col min="15877" max="15877" width="7" style="3" customWidth="1"/>
    <col min="15878" max="15878" width="14.85546875" style="3" customWidth="1"/>
    <col min="15879" max="15879" width="0" style="3" hidden="1" customWidth="1"/>
    <col min="15880" max="15880" width="15.140625" style="3" customWidth="1"/>
    <col min="15881" max="15881" width="7.85546875" style="3" customWidth="1"/>
    <col min="15882" max="15884" width="0" style="3" hidden="1" customWidth="1"/>
    <col min="15885" max="16128" width="9.140625" style="3"/>
    <col min="16129" max="16129" width="7.140625" style="3" customWidth="1"/>
    <col min="16130" max="16130" width="59.140625" style="3" customWidth="1"/>
    <col min="16131" max="16131" width="5.85546875" style="3" customWidth="1"/>
    <col min="16132" max="16132" width="15.7109375" style="3" customWidth="1"/>
    <col min="16133" max="16133" width="7" style="3" customWidth="1"/>
    <col min="16134" max="16134" width="14.85546875" style="3" customWidth="1"/>
    <col min="16135" max="16135" width="0" style="3" hidden="1" customWidth="1"/>
    <col min="16136" max="16136" width="15.140625" style="3" customWidth="1"/>
    <col min="16137" max="16137" width="7.85546875" style="3" customWidth="1"/>
    <col min="16138" max="16140" width="0" style="3" hidden="1" customWidth="1"/>
    <col min="16141" max="16384" width="9.140625" style="3"/>
  </cols>
  <sheetData>
    <row r="1" spans="1:15" ht="20.25" customHeight="1" x14ac:dyDescent="0.25">
      <c r="A1" s="369"/>
      <c r="B1" s="370"/>
      <c r="C1" s="370"/>
      <c r="D1" s="371" t="s">
        <v>0</v>
      </c>
      <c r="E1" s="372"/>
      <c r="F1" s="372"/>
      <c r="G1" s="372"/>
      <c r="H1" s="372"/>
      <c r="I1" s="372"/>
      <c r="J1" s="370"/>
    </row>
    <row r="2" spans="1:15" ht="15" customHeight="1" x14ac:dyDescent="0.25">
      <c r="A2" s="370"/>
      <c r="B2" s="370"/>
      <c r="C2" s="370"/>
      <c r="D2" s="372" t="s">
        <v>1</v>
      </c>
      <c r="E2" s="373"/>
      <c r="F2" s="372"/>
      <c r="G2" s="372"/>
      <c r="H2" s="372"/>
      <c r="I2" s="372"/>
      <c r="J2" s="370"/>
    </row>
    <row r="3" spans="1:15" ht="51" customHeight="1" x14ac:dyDescent="0.25">
      <c r="A3" s="370"/>
      <c r="B3" s="370"/>
      <c r="C3" s="370"/>
      <c r="D3" s="775" t="s">
        <v>196</v>
      </c>
      <c r="E3" s="775"/>
      <c r="F3" s="775"/>
      <c r="G3" s="374"/>
      <c r="H3" s="374"/>
      <c r="I3" s="374"/>
      <c r="J3" s="370"/>
    </row>
    <row r="4" spans="1:15" ht="25.5" customHeight="1" x14ac:dyDescent="0.25">
      <c r="A4" s="370"/>
      <c r="B4" s="370"/>
      <c r="C4" s="370"/>
      <c r="D4" s="372" t="s">
        <v>87</v>
      </c>
      <c r="E4" s="373"/>
      <c r="F4" s="372"/>
      <c r="G4" s="372"/>
      <c r="H4" s="372"/>
      <c r="I4" s="372"/>
      <c r="J4" s="370"/>
    </row>
    <row r="5" spans="1:15" ht="20.25" customHeight="1" x14ac:dyDescent="0.25">
      <c r="A5" s="370"/>
      <c r="B5" s="370"/>
      <c r="C5" s="370"/>
      <c r="D5" s="372" t="s">
        <v>197</v>
      </c>
      <c r="E5" s="373"/>
      <c r="F5" s="372"/>
      <c r="G5" s="372"/>
      <c r="H5" s="372"/>
      <c r="I5" s="372"/>
      <c r="J5" s="370"/>
    </row>
    <row r="6" spans="1:15" ht="6.75" customHeight="1" x14ac:dyDescent="0.25">
      <c r="A6" s="370"/>
      <c r="B6" s="370"/>
      <c r="C6" s="375"/>
      <c r="D6" s="376"/>
      <c r="E6" s="370"/>
      <c r="F6" s="370"/>
      <c r="G6" s="370"/>
      <c r="H6" s="370"/>
      <c r="I6" s="370"/>
      <c r="J6" s="370"/>
    </row>
    <row r="7" spans="1:15" s="7" customFormat="1" ht="20.25" customHeight="1" x14ac:dyDescent="0.25">
      <c r="A7" s="377" t="s">
        <v>5</v>
      </c>
      <c r="B7" s="377"/>
      <c r="C7" s="377"/>
      <c r="D7" s="377"/>
      <c r="E7" s="377"/>
      <c r="F7" s="377"/>
      <c r="G7" s="377"/>
      <c r="H7" s="377"/>
      <c r="I7" s="377"/>
      <c r="J7" s="378"/>
    </row>
    <row r="8" spans="1:15" ht="24.75" customHeight="1" x14ac:dyDescent="0.25">
      <c r="A8" s="379" t="s">
        <v>198</v>
      </c>
      <c r="B8" s="379"/>
      <c r="C8" s="379"/>
      <c r="D8" s="379"/>
      <c r="E8" s="379"/>
      <c r="F8" s="379"/>
      <c r="G8" s="379"/>
      <c r="H8" s="379"/>
      <c r="I8" s="379"/>
      <c r="J8" s="372"/>
    </row>
    <row r="9" spans="1:15" ht="20.25" customHeight="1" x14ac:dyDescent="0.25">
      <c r="A9" s="379" t="s">
        <v>7</v>
      </c>
      <c r="B9" s="379"/>
      <c r="C9" s="379"/>
      <c r="D9" s="379"/>
      <c r="E9" s="379"/>
      <c r="F9" s="379"/>
      <c r="G9" s="379"/>
      <c r="H9" s="379"/>
      <c r="I9" s="379"/>
      <c r="J9" s="372"/>
    </row>
    <row r="10" spans="1:15" ht="20.25" customHeight="1" x14ac:dyDescent="0.25">
      <c r="A10" s="379" t="s">
        <v>8</v>
      </c>
      <c r="B10" s="379"/>
      <c r="C10" s="379"/>
      <c r="D10" s="379"/>
      <c r="E10" s="379"/>
      <c r="F10" s="379"/>
      <c r="G10" s="379"/>
      <c r="H10" s="379"/>
      <c r="I10" s="379"/>
      <c r="J10" s="372"/>
    </row>
    <row r="11" spans="1:15" ht="19.5" customHeight="1" thickBot="1" x14ac:dyDescent="0.3">
      <c r="A11" s="372"/>
      <c r="B11" s="372"/>
      <c r="C11" s="372"/>
      <c r="D11" s="372"/>
      <c r="E11" s="372"/>
      <c r="F11" s="380" t="s">
        <v>199</v>
      </c>
      <c r="G11" s="372"/>
      <c r="H11" s="372"/>
      <c r="I11" s="372"/>
      <c r="J11" s="381"/>
    </row>
    <row r="12" spans="1:15" ht="69.75" customHeight="1" thickBot="1" x14ac:dyDescent="0.3">
      <c r="A12" s="776" t="s">
        <v>10</v>
      </c>
      <c r="B12" s="778" t="s">
        <v>11</v>
      </c>
      <c r="C12" s="776" t="s">
        <v>12</v>
      </c>
      <c r="D12" s="766" t="s">
        <v>13</v>
      </c>
      <c r="E12" s="768"/>
      <c r="F12" s="778" t="s">
        <v>14</v>
      </c>
      <c r="G12" s="766" t="s">
        <v>15</v>
      </c>
      <c r="H12" s="767"/>
      <c r="I12" s="768"/>
      <c r="J12" s="372"/>
      <c r="M12" s="695" t="s">
        <v>16</v>
      </c>
      <c r="N12" s="695"/>
      <c r="O12" s="695"/>
    </row>
    <row r="13" spans="1:15" s="17" customFormat="1" ht="177" customHeight="1" thickBot="1" x14ac:dyDescent="0.3">
      <c r="A13" s="777"/>
      <c r="B13" s="779"/>
      <c r="C13" s="777"/>
      <c r="D13" s="382" t="s">
        <v>17</v>
      </c>
      <c r="E13" s="383" t="s">
        <v>18</v>
      </c>
      <c r="F13" s="779"/>
      <c r="G13" s="382" t="s">
        <v>19</v>
      </c>
      <c r="H13" s="382" t="s">
        <v>17</v>
      </c>
      <c r="I13" s="383" t="s">
        <v>154</v>
      </c>
      <c r="J13" s="384" t="s">
        <v>19</v>
      </c>
      <c r="M13" s="14">
        <v>10</v>
      </c>
      <c r="N13" s="14">
        <v>20</v>
      </c>
      <c r="O13" s="14" t="s">
        <v>70</v>
      </c>
    </row>
    <row r="14" spans="1:15" s="394" customFormat="1" ht="23.25" hidden="1" customHeight="1" x14ac:dyDescent="0.25">
      <c r="A14" s="385" t="s">
        <v>200</v>
      </c>
      <c r="B14" s="386"/>
      <c r="C14" s="387"/>
      <c r="D14" s="388"/>
      <c r="E14" s="389"/>
      <c r="F14" s="390"/>
      <c r="G14" s="388"/>
      <c r="H14" s="387"/>
      <c r="I14" s="389"/>
      <c r="J14" s="391"/>
      <c r="K14" s="392"/>
      <c r="L14" s="392"/>
      <c r="M14" s="393"/>
      <c r="N14" s="393"/>
      <c r="O14" s="393"/>
    </row>
    <row r="15" spans="1:15" s="20" customFormat="1" ht="20.25" hidden="1" customHeight="1" x14ac:dyDescent="0.25">
      <c r="A15" s="395" t="s">
        <v>90</v>
      </c>
      <c r="B15" s="396" t="s">
        <v>201</v>
      </c>
      <c r="C15" s="397"/>
      <c r="D15" s="397"/>
      <c r="E15" s="398"/>
      <c r="F15" s="399"/>
      <c r="G15" s="400"/>
      <c r="H15" s="398"/>
      <c r="I15" s="401"/>
      <c r="J15" s="402"/>
      <c r="M15" s="19"/>
      <c r="N15" s="19"/>
      <c r="O15" s="19"/>
    </row>
    <row r="16" spans="1:15" ht="48" hidden="1" customHeight="1" x14ac:dyDescent="0.25">
      <c r="A16" s="403" t="s">
        <v>23</v>
      </c>
      <c r="B16" s="404" t="s">
        <v>202</v>
      </c>
      <c r="C16" s="384"/>
      <c r="D16" s="405">
        <f>SUM(D17:D31)</f>
        <v>4.5</v>
      </c>
      <c r="E16" s="406" t="s">
        <v>25</v>
      </c>
      <c r="F16" s="407">
        <f>SUM(F17:F31)</f>
        <v>2.29</v>
      </c>
      <c r="G16" s="408">
        <f>SUM(G17:G28)</f>
        <v>0</v>
      </c>
      <c r="H16" s="409">
        <f>SUM(H17:H31)</f>
        <v>5.9699999999999989</v>
      </c>
      <c r="I16" s="410" t="s">
        <v>25</v>
      </c>
      <c r="J16" s="411">
        <f>H16/$L$16</f>
        <v>1.8223443223443221</v>
      </c>
      <c r="K16" s="412" t="str">
        <f>'[12]1р'!D27</f>
        <v>курс на 23.03.20 за 100 рос. руб.</v>
      </c>
      <c r="L16" s="413">
        <f>'[12]1р'!E27</f>
        <v>3.2759999999999998</v>
      </c>
      <c r="M16" s="414">
        <f>SUM(M17:M31)</f>
        <v>0.20000000000000004</v>
      </c>
      <c r="N16" s="414">
        <f>SUM(N17:N31)</f>
        <v>1.8333333333333333E-2</v>
      </c>
      <c r="O16" s="414">
        <f>SUM(O17:O31)</f>
        <v>0.21833333333333332</v>
      </c>
    </row>
    <row r="17" spans="1:17" ht="24.75" hidden="1" customHeight="1" x14ac:dyDescent="0.25">
      <c r="A17" s="415"/>
      <c r="B17" s="416" t="str">
        <f>'[12]1 Забор крови палец'!A11</f>
        <v>Взятие крови из пальца для всего спектра гематологических исследований в понятии "общий анализ крови"</v>
      </c>
      <c r="C17" s="417" t="s">
        <v>203</v>
      </c>
      <c r="D17" s="418">
        <f>'[12]1 Забор крови палец'!G26</f>
        <v>0.6</v>
      </c>
      <c r="E17" s="419" t="s">
        <v>25</v>
      </c>
      <c r="F17" s="420">
        <f>'[12]1 Забор крови палец'!P30</f>
        <v>1.34</v>
      </c>
      <c r="G17" s="421"/>
      <c r="H17" s="422">
        <f>'[12]1р'!G26</f>
        <v>1</v>
      </c>
      <c r="I17" s="423" t="s">
        <v>25</v>
      </c>
      <c r="J17" s="424"/>
      <c r="K17" s="425"/>
      <c r="L17" s="426"/>
      <c r="M17" s="414">
        <f t="shared" ref="M17:M23" si="0">F17*$M$13/110</f>
        <v>0.12181818181818183</v>
      </c>
      <c r="N17" s="414"/>
      <c r="O17" s="414">
        <f>M17+N17</f>
        <v>0.12181818181818183</v>
      </c>
    </row>
    <row r="18" spans="1:17" ht="20.100000000000001" hidden="1" customHeight="1" x14ac:dyDescent="0.25">
      <c r="A18" s="427"/>
      <c r="B18" s="428" t="str">
        <f>'[12]3 Гемоглобин'!A11</f>
        <v>Определение гемоглобина гемоглобинцианидный методом</v>
      </c>
      <c r="C18" s="429" t="s">
        <v>204</v>
      </c>
      <c r="D18" s="430">
        <f>'[12]3 Гемоглобин'!G26</f>
        <v>0.59</v>
      </c>
      <c r="E18" s="431" t="s">
        <v>25</v>
      </c>
      <c r="F18" s="432">
        <f>'[12]3 Гемоглобин'!P27</f>
        <v>0.08</v>
      </c>
      <c r="G18" s="433"/>
      <c r="H18" s="434">
        <f>'[12]3р  '!G26</f>
        <v>0.9</v>
      </c>
      <c r="I18" s="435" t="s">
        <v>25</v>
      </c>
      <c r="J18" s="424"/>
      <c r="K18" s="425"/>
      <c r="L18" s="426"/>
      <c r="M18" s="414">
        <f t="shared" si="0"/>
        <v>7.2727272727272727E-3</v>
      </c>
      <c r="N18" s="414"/>
      <c r="O18" s="414">
        <f t="shared" ref="O18:O31" si="1">M18+N18</f>
        <v>7.2727272727272727E-3</v>
      </c>
    </row>
    <row r="19" spans="1:17" ht="20.100000000000001" hidden="1" customHeight="1" x14ac:dyDescent="0.25">
      <c r="A19" s="427"/>
      <c r="B19" s="428" t="str">
        <f>'[12]2 Пипетирование стек.'!A11</f>
        <v>Пипетирование стеклянными пипетками</v>
      </c>
      <c r="C19" s="429" t="s">
        <v>205</v>
      </c>
      <c r="D19" s="430">
        <f>'[12]2 Пипетирование стек.'!G26</f>
        <v>0.04</v>
      </c>
      <c r="E19" s="431" t="s">
        <v>25</v>
      </c>
      <c r="F19" s="432">
        <f>'[12]2 Пипетирование стек.'!P27</f>
        <v>0.3</v>
      </c>
      <c r="G19" s="433"/>
      <c r="H19" s="434">
        <f>'[12]2р '!G26</f>
        <v>0.05</v>
      </c>
      <c r="I19" s="435" t="s">
        <v>25</v>
      </c>
      <c r="J19" s="424"/>
      <c r="K19" s="425"/>
      <c r="L19" s="426"/>
      <c r="M19" s="414">
        <f t="shared" si="0"/>
        <v>2.7272727272727271E-2</v>
      </c>
      <c r="N19" s="414"/>
      <c r="O19" s="414">
        <f t="shared" si="1"/>
        <v>2.7272727272727271E-2</v>
      </c>
    </row>
    <row r="20" spans="1:17" ht="20.100000000000001" hidden="1" customHeight="1" x14ac:dyDescent="0.25">
      <c r="A20" s="427"/>
      <c r="B20" s="428" t="str">
        <f>'[12]2 Пипетирование полуав.'!A11</f>
        <v>Пипетирование полуавтоматическими дозаторами</v>
      </c>
      <c r="C20" s="429" t="s">
        <v>205</v>
      </c>
      <c r="D20" s="430">
        <f>'[12]2 Пипетирование полуав.'!G26</f>
        <v>0.04</v>
      </c>
      <c r="E20" s="431"/>
      <c r="F20" s="432">
        <f>'[12]2 Пипетирование полуав.'!P27</f>
        <v>0.18</v>
      </c>
      <c r="G20" s="433"/>
      <c r="H20" s="434">
        <f>'[12]2а р '!G26</f>
        <v>0.05</v>
      </c>
      <c r="I20" s="435"/>
      <c r="J20" s="424"/>
      <c r="K20" s="425"/>
      <c r="L20" s="426"/>
      <c r="M20" s="414">
        <f t="shared" si="0"/>
        <v>1.6363636363636361E-2</v>
      </c>
      <c r="N20" s="414"/>
      <c r="O20" s="414">
        <f t="shared" si="1"/>
        <v>1.6363636363636361E-2</v>
      </c>
    </row>
    <row r="21" spans="1:17" ht="20.100000000000001" hidden="1" customHeight="1" x14ac:dyDescent="0.25">
      <c r="A21" s="436"/>
      <c r="B21" s="437" t="str">
        <f>'[12]4 Эритроциты'!A11</f>
        <v>Подсчет эритроцитов в счетной камере</v>
      </c>
      <c r="C21" s="438" t="s">
        <v>204</v>
      </c>
      <c r="D21" s="439">
        <f>'[12]4 Эритроциты'!G26</f>
        <v>1.1000000000000001</v>
      </c>
      <c r="E21" s="440" t="s">
        <v>25</v>
      </c>
      <c r="F21" s="432">
        <f>'[12]4 Эритроциты'!P27</f>
        <v>0.24</v>
      </c>
      <c r="G21" s="441"/>
      <c r="H21" s="442">
        <f>'[12]4р  '!G26</f>
        <v>1.42</v>
      </c>
      <c r="I21" s="443" t="s">
        <v>25</v>
      </c>
      <c r="J21" s="444"/>
      <c r="K21" s="425"/>
      <c r="L21" s="426"/>
      <c r="M21" s="414">
        <f t="shared" si="0"/>
        <v>2.1818181818181816E-2</v>
      </c>
      <c r="N21" s="414"/>
      <c r="O21" s="414">
        <f t="shared" si="1"/>
        <v>2.1818181818181816E-2</v>
      </c>
    </row>
    <row r="22" spans="1:17" ht="20.100000000000001" hidden="1" customHeight="1" x14ac:dyDescent="0.25">
      <c r="A22" s="436"/>
      <c r="B22" s="437" t="str">
        <f>$B$19</f>
        <v>Пипетирование стеклянными пипетками</v>
      </c>
      <c r="C22" s="438" t="s">
        <v>205</v>
      </c>
      <c r="D22" s="439">
        <f>D19</f>
        <v>0.04</v>
      </c>
      <c r="E22" s="440" t="str">
        <f>E19</f>
        <v>-</v>
      </c>
      <c r="F22" s="432">
        <f>F19*0</f>
        <v>0</v>
      </c>
      <c r="G22" s="441">
        <f>G19</f>
        <v>0</v>
      </c>
      <c r="H22" s="442">
        <f>H19</f>
        <v>0.05</v>
      </c>
      <c r="I22" s="444" t="str">
        <f>I19</f>
        <v>-</v>
      </c>
      <c r="J22" s="444"/>
      <c r="K22" s="425"/>
      <c r="L22" s="426"/>
      <c r="M22" s="414">
        <f t="shared" si="0"/>
        <v>0</v>
      </c>
      <c r="N22" s="414"/>
      <c r="O22" s="414">
        <f t="shared" si="1"/>
        <v>0</v>
      </c>
    </row>
    <row r="23" spans="1:17" ht="20.100000000000001" hidden="1" customHeight="1" x14ac:dyDescent="0.25">
      <c r="A23" s="436"/>
      <c r="B23" s="437" t="str">
        <f>'[12]2 Пипетирование полуав.'!A11</f>
        <v>Пипетирование полуавтоматическими дозаторами</v>
      </c>
      <c r="C23" s="438" t="s">
        <v>205</v>
      </c>
      <c r="D23" s="439">
        <f>D20</f>
        <v>0.04</v>
      </c>
      <c r="E23" s="440"/>
      <c r="F23" s="432">
        <f>F20*0</f>
        <v>0</v>
      </c>
      <c r="G23" s="441"/>
      <c r="H23" s="442">
        <f>H20</f>
        <v>0.05</v>
      </c>
      <c r="I23" s="444"/>
      <c r="J23" s="444"/>
      <c r="K23" s="425"/>
      <c r="L23" s="426"/>
      <c r="M23" s="414">
        <f t="shared" si="0"/>
        <v>0</v>
      </c>
      <c r="N23" s="414"/>
      <c r="O23" s="414">
        <f t="shared" si="1"/>
        <v>0</v>
      </c>
    </row>
    <row r="24" spans="1:17" ht="20.100000000000001" hidden="1" customHeight="1" x14ac:dyDescent="0.25">
      <c r="A24" s="436"/>
      <c r="B24" s="437" t="str">
        <f>'[12]5 СОЭ'!A11</f>
        <v xml:space="preserve"> Определение скорости оседания эритроцитов</v>
      </c>
      <c r="C24" s="438" t="s">
        <v>204</v>
      </c>
      <c r="D24" s="439">
        <f>'[12]5 СОЭ'!G26</f>
        <v>0.25</v>
      </c>
      <c r="E24" s="440" t="s">
        <v>25</v>
      </c>
      <c r="F24" s="432">
        <f>'[12]5 СОЭ'!P26</f>
        <v>0.02</v>
      </c>
      <c r="G24" s="441"/>
      <c r="H24" s="442">
        <f>'[12]5р   '!G26</f>
        <v>0.4</v>
      </c>
      <c r="I24" s="443" t="s">
        <v>25</v>
      </c>
      <c r="J24" s="444"/>
      <c r="K24" s="425"/>
      <c r="L24" s="426"/>
      <c r="M24" s="414">
        <f>0.01*M13/110</f>
        <v>9.0909090909090909E-4</v>
      </c>
      <c r="N24" s="414">
        <f>0.01*N13/120</f>
        <v>1.6666666666666668E-3</v>
      </c>
      <c r="O24" s="414">
        <f t="shared" si="1"/>
        <v>2.5757575757575759E-3</v>
      </c>
    </row>
    <row r="25" spans="1:17" ht="20.100000000000001" hidden="1" customHeight="1" x14ac:dyDescent="0.25">
      <c r="A25" s="436"/>
      <c r="B25" s="437" t="str">
        <f>$B$19</f>
        <v>Пипетирование стеклянными пипетками</v>
      </c>
      <c r="C25" s="438" t="s">
        <v>205</v>
      </c>
      <c r="D25" s="439">
        <f>D19</f>
        <v>0.04</v>
      </c>
      <c r="E25" s="440" t="str">
        <f>E22</f>
        <v>-</v>
      </c>
      <c r="F25" s="432">
        <f>F22</f>
        <v>0</v>
      </c>
      <c r="G25" s="441">
        <f>G22</f>
        <v>0</v>
      </c>
      <c r="H25" s="442">
        <f>H19</f>
        <v>0.05</v>
      </c>
      <c r="I25" s="444" t="str">
        <f>I22</f>
        <v>-</v>
      </c>
      <c r="J25" s="444"/>
      <c r="K25" s="425"/>
      <c r="L25" s="426"/>
      <c r="M25" s="414">
        <f>M22</f>
        <v>0</v>
      </c>
      <c r="N25" s="414"/>
      <c r="O25" s="414">
        <f t="shared" si="1"/>
        <v>0</v>
      </c>
    </row>
    <row r="26" spans="1:17" ht="20.100000000000001" hidden="1" customHeight="1" x14ac:dyDescent="0.25">
      <c r="A26" s="436"/>
      <c r="B26" s="437" t="str">
        <f>'[12]2 Пипетирование стек.'!A11</f>
        <v>Пипетирование стеклянными пипетками</v>
      </c>
      <c r="C26" s="438" t="s">
        <v>205</v>
      </c>
      <c r="D26" s="439">
        <f>D25</f>
        <v>0.04</v>
      </c>
      <c r="E26" s="440"/>
      <c r="F26" s="432">
        <f>F25</f>
        <v>0</v>
      </c>
      <c r="G26" s="441"/>
      <c r="H26" s="442">
        <f>H25</f>
        <v>0.05</v>
      </c>
      <c r="I26" s="444"/>
      <c r="J26" s="444"/>
      <c r="K26" s="425"/>
      <c r="L26" s="426"/>
      <c r="M26" s="414">
        <f>M23</f>
        <v>0</v>
      </c>
      <c r="N26" s="414"/>
      <c r="O26" s="414">
        <f t="shared" si="1"/>
        <v>0</v>
      </c>
    </row>
    <row r="27" spans="1:17" ht="20.100000000000001" hidden="1" customHeight="1" x14ac:dyDescent="0.25">
      <c r="A27" s="436"/>
      <c r="B27" s="437" t="str">
        <f>'[12]2 Пипетирование стек.'!A11</f>
        <v>Пипетирование стеклянными пипетками</v>
      </c>
      <c r="C27" s="438" t="s">
        <v>205</v>
      </c>
      <c r="D27" s="439">
        <f>D26</f>
        <v>0.04</v>
      </c>
      <c r="E27" s="440"/>
      <c r="F27" s="432">
        <f>F26</f>
        <v>0</v>
      </c>
      <c r="G27" s="441"/>
      <c r="H27" s="442">
        <f>H26</f>
        <v>0.05</v>
      </c>
      <c r="I27" s="444"/>
      <c r="J27" s="444"/>
      <c r="K27" s="425"/>
      <c r="L27" s="426"/>
      <c r="M27" s="414">
        <f>M24</f>
        <v>9.0909090909090909E-4</v>
      </c>
      <c r="N27" s="414"/>
      <c r="O27" s="414">
        <f t="shared" si="1"/>
        <v>9.0909090909090909E-4</v>
      </c>
    </row>
    <row r="28" spans="1:17" ht="20.100000000000001" hidden="1" customHeight="1" x14ac:dyDescent="0.25">
      <c r="A28" s="436"/>
      <c r="B28" s="437" t="str">
        <f>'[12]6 Лейкоциты'!A11</f>
        <v>Подсчет лейкоцитов в счетной камере</v>
      </c>
      <c r="C28" s="438" t="s">
        <v>204</v>
      </c>
      <c r="D28" s="439">
        <f>'[12]6 Лейкоциты'!G26</f>
        <v>1</v>
      </c>
      <c r="E28" s="440" t="s">
        <v>25</v>
      </c>
      <c r="F28" s="432">
        <f>'[12]6 Лейкоциты'!P27</f>
        <v>0.05</v>
      </c>
      <c r="G28" s="441"/>
      <c r="H28" s="442">
        <f>'[12]6р  '!G26</f>
        <v>1.2</v>
      </c>
      <c r="I28" s="443" t="s">
        <v>25</v>
      </c>
      <c r="J28" s="444"/>
      <c r="K28" s="425"/>
      <c r="L28" s="426"/>
      <c r="M28" s="414">
        <f>0.02*M13/110</f>
        <v>1.8181818181818182E-3</v>
      </c>
      <c r="N28" s="414">
        <f>0.03*N13/120</f>
        <v>5.0000000000000001E-3</v>
      </c>
      <c r="O28" s="414">
        <f t="shared" si="1"/>
        <v>6.8181818181818187E-3</v>
      </c>
    </row>
    <row r="29" spans="1:17" ht="20.100000000000001" hidden="1" customHeight="1" x14ac:dyDescent="0.25">
      <c r="A29" s="436"/>
      <c r="B29" s="437" t="str">
        <f>$B$19</f>
        <v>Пипетирование стеклянными пипетками</v>
      </c>
      <c r="C29" s="438" t="s">
        <v>205</v>
      </c>
      <c r="D29" s="439">
        <f>D27</f>
        <v>0.04</v>
      </c>
      <c r="E29" s="440" t="str">
        <f>E25</f>
        <v>-</v>
      </c>
      <c r="F29" s="432">
        <f>F27</f>
        <v>0</v>
      </c>
      <c r="G29" s="441">
        <f>G25</f>
        <v>0</v>
      </c>
      <c r="H29" s="442">
        <f>H27</f>
        <v>0.05</v>
      </c>
      <c r="I29" s="444" t="str">
        <f>I25</f>
        <v>-</v>
      </c>
      <c r="J29" s="444"/>
      <c r="K29" s="425"/>
      <c r="L29" s="426"/>
      <c r="M29" s="414">
        <f>M27</f>
        <v>9.0909090909090909E-4</v>
      </c>
      <c r="N29" s="414"/>
      <c r="O29" s="414">
        <f t="shared" si="1"/>
        <v>9.0909090909090909E-4</v>
      </c>
    </row>
    <row r="30" spans="1:17" ht="20.100000000000001" hidden="1" customHeight="1" x14ac:dyDescent="0.25">
      <c r="A30" s="436"/>
      <c r="B30" s="437" t="str">
        <f>'[12]2 Пипетирование полуав.'!A11</f>
        <v>Пипетирование полуавтоматическими дозаторами</v>
      </c>
      <c r="C30" s="438" t="s">
        <v>205</v>
      </c>
      <c r="D30" s="439">
        <f>D23</f>
        <v>0.04</v>
      </c>
      <c r="E30" s="440"/>
      <c r="F30" s="432">
        <f>F23</f>
        <v>0</v>
      </c>
      <c r="G30" s="441"/>
      <c r="H30" s="442">
        <f>H23</f>
        <v>0.05</v>
      </c>
      <c r="I30" s="444"/>
      <c r="J30" s="444"/>
      <c r="K30" s="425"/>
      <c r="L30" s="426"/>
      <c r="M30" s="414">
        <f>M23</f>
        <v>0</v>
      </c>
      <c r="N30" s="414"/>
      <c r="O30" s="414">
        <f t="shared" si="1"/>
        <v>0</v>
      </c>
    </row>
    <row r="31" spans="1:17" ht="20.100000000000001" hidden="1" customHeight="1" x14ac:dyDescent="0.25">
      <c r="A31" s="445"/>
      <c r="B31" s="446" t="str">
        <f>B52</f>
        <v>Прием и регистрация проб</v>
      </c>
      <c r="C31" s="447" t="str">
        <f>C52</f>
        <v>регистрация</v>
      </c>
      <c r="D31" s="448">
        <f>D52</f>
        <v>0.6</v>
      </c>
      <c r="E31" s="449"/>
      <c r="F31" s="450">
        <f>'[12]7 прием'!P27</f>
        <v>0.08</v>
      </c>
      <c r="G31" s="451"/>
      <c r="H31" s="452">
        <f>H52</f>
        <v>0.6</v>
      </c>
      <c r="I31" s="453"/>
      <c r="J31" s="454"/>
      <c r="K31" s="425"/>
      <c r="L31" s="426"/>
      <c r="M31" s="414">
        <f>0.01*M13/110</f>
        <v>9.0909090909090909E-4</v>
      </c>
      <c r="N31" s="414">
        <f>0.07*N13/120</f>
        <v>1.1666666666666667E-2</v>
      </c>
      <c r="O31" s="414">
        <f t="shared" si="1"/>
        <v>1.2575757575757577E-2</v>
      </c>
      <c r="P31" s="10"/>
      <c r="Q31" s="10"/>
    </row>
    <row r="32" spans="1:17" ht="95.25" hidden="1" customHeight="1" x14ac:dyDescent="0.25">
      <c r="A32" s="403" t="s">
        <v>26</v>
      </c>
      <c r="B32" s="404" t="s">
        <v>206</v>
      </c>
      <c r="C32" s="455"/>
      <c r="D32" s="456">
        <f>SUM(D33:D52)</f>
        <v>8.32</v>
      </c>
      <c r="E32" s="457"/>
      <c r="F32" s="458">
        <f>SUM(F33:F52)</f>
        <v>2.5</v>
      </c>
      <c r="G32" s="459"/>
      <c r="H32" s="460">
        <f>SUM(H33:H52)</f>
        <v>11.47</v>
      </c>
      <c r="I32" s="461"/>
      <c r="J32" s="461"/>
      <c r="K32" s="425"/>
      <c r="L32" s="426"/>
      <c r="M32" s="414">
        <f>SUM(M33:M52)</f>
        <v>0.21727272727272728</v>
      </c>
      <c r="N32" s="414">
        <f>SUM(N33:N52)</f>
        <v>1.8333333333333333E-2</v>
      </c>
      <c r="O32" s="414">
        <f>SUM(O33:O52)</f>
        <v>0.23560606060606057</v>
      </c>
      <c r="P32" s="10"/>
      <c r="Q32" s="10"/>
    </row>
    <row r="33" spans="1:15" ht="24.95" hidden="1" customHeight="1" x14ac:dyDescent="0.25">
      <c r="A33" s="462"/>
      <c r="B33" s="463" t="str">
        <f>B17</f>
        <v>Взятие крови из пальца для всего спектра гематологических исследований в понятии "общий анализ крови"</v>
      </c>
      <c r="C33" s="464" t="str">
        <f>C17</f>
        <v>проба</v>
      </c>
      <c r="D33" s="465">
        <f>D17</f>
        <v>0.6</v>
      </c>
      <c r="E33" s="466"/>
      <c r="F33" s="420">
        <f>F17</f>
        <v>1.34</v>
      </c>
      <c r="G33" s="467"/>
      <c r="H33" s="468">
        <f>H17</f>
        <v>1</v>
      </c>
      <c r="I33" s="469"/>
      <c r="J33" s="470"/>
      <c r="K33" s="425"/>
      <c r="L33" s="426"/>
      <c r="M33" s="414">
        <f>M17</f>
        <v>0.12181818181818183</v>
      </c>
      <c r="N33" s="414"/>
      <c r="O33" s="414">
        <f>M33+N33</f>
        <v>0.12181818181818183</v>
      </c>
    </row>
    <row r="34" spans="1:15" ht="20.100000000000001" hidden="1" customHeight="1" x14ac:dyDescent="0.25">
      <c r="A34" s="436"/>
      <c r="B34" s="437" t="str">
        <f t="shared" ref="B34:D46" si="2">B18</f>
        <v>Определение гемоглобина гемоглобинцианидный методом</v>
      </c>
      <c r="C34" s="438" t="str">
        <f t="shared" si="2"/>
        <v>исслед-ие</v>
      </c>
      <c r="D34" s="439">
        <f t="shared" si="2"/>
        <v>0.59</v>
      </c>
      <c r="E34" s="440"/>
      <c r="F34" s="432">
        <f>F18</f>
        <v>0.08</v>
      </c>
      <c r="G34" s="441"/>
      <c r="H34" s="471">
        <f t="shared" ref="H34:H46" si="3">H18</f>
        <v>0.9</v>
      </c>
      <c r="I34" s="444"/>
      <c r="J34" s="444"/>
      <c r="K34" s="425"/>
      <c r="L34" s="426"/>
      <c r="M34" s="414">
        <f>M18</f>
        <v>7.2727272727272727E-3</v>
      </c>
      <c r="N34" s="414"/>
      <c r="O34" s="414">
        <f t="shared" ref="O34:O52" si="4">M34+N34</f>
        <v>7.2727272727272727E-3</v>
      </c>
    </row>
    <row r="35" spans="1:15" ht="20.100000000000001" hidden="1" customHeight="1" x14ac:dyDescent="0.25">
      <c r="A35" s="436"/>
      <c r="B35" s="437" t="str">
        <f t="shared" si="2"/>
        <v>Пипетирование стеклянными пипетками</v>
      </c>
      <c r="C35" s="438" t="str">
        <f t="shared" si="2"/>
        <v>пипетир-е</v>
      </c>
      <c r="D35" s="439">
        <f t="shared" si="2"/>
        <v>0.04</v>
      </c>
      <c r="E35" s="440"/>
      <c r="F35" s="432">
        <f>F19</f>
        <v>0.3</v>
      </c>
      <c r="G35" s="441"/>
      <c r="H35" s="471">
        <f t="shared" si="3"/>
        <v>0.05</v>
      </c>
      <c r="I35" s="444"/>
      <c r="J35" s="444"/>
      <c r="K35" s="425"/>
      <c r="L35" s="426"/>
      <c r="M35" s="414">
        <f>M19</f>
        <v>2.7272727272727271E-2</v>
      </c>
      <c r="N35" s="414"/>
      <c r="O35" s="414">
        <f t="shared" si="4"/>
        <v>2.7272727272727271E-2</v>
      </c>
    </row>
    <row r="36" spans="1:15" ht="20.100000000000001" hidden="1" customHeight="1" x14ac:dyDescent="0.25">
      <c r="A36" s="436"/>
      <c r="B36" s="437" t="str">
        <f t="shared" si="2"/>
        <v>Пипетирование полуавтоматическими дозаторами</v>
      </c>
      <c r="C36" s="438" t="str">
        <f t="shared" si="2"/>
        <v>пипетир-е</v>
      </c>
      <c r="D36" s="439">
        <f t="shared" si="2"/>
        <v>0.04</v>
      </c>
      <c r="E36" s="440"/>
      <c r="F36" s="432">
        <f>F20</f>
        <v>0.18</v>
      </c>
      <c r="G36" s="441"/>
      <c r="H36" s="471">
        <f t="shared" si="3"/>
        <v>0.05</v>
      </c>
      <c r="I36" s="444"/>
      <c r="J36" s="444"/>
      <c r="K36" s="425"/>
      <c r="L36" s="426"/>
      <c r="M36" s="414">
        <f>M20</f>
        <v>1.6363636363636361E-2</v>
      </c>
      <c r="N36" s="414"/>
      <c r="O36" s="414">
        <f t="shared" si="4"/>
        <v>1.6363636363636361E-2</v>
      </c>
    </row>
    <row r="37" spans="1:15" ht="20.100000000000001" hidden="1" customHeight="1" x14ac:dyDescent="0.25">
      <c r="A37" s="436"/>
      <c r="B37" s="437" t="str">
        <f t="shared" si="2"/>
        <v>Подсчет эритроцитов в счетной камере</v>
      </c>
      <c r="C37" s="438" t="str">
        <f t="shared" si="2"/>
        <v>исслед-ие</v>
      </c>
      <c r="D37" s="439">
        <f t="shared" si="2"/>
        <v>1.1000000000000001</v>
      </c>
      <c r="E37" s="440"/>
      <c r="F37" s="432">
        <f>F21</f>
        <v>0.24</v>
      </c>
      <c r="G37" s="441"/>
      <c r="H37" s="471">
        <f t="shared" si="3"/>
        <v>1.42</v>
      </c>
      <c r="I37" s="444"/>
      <c r="J37" s="444"/>
      <c r="K37" s="425"/>
      <c r="L37" s="426"/>
      <c r="M37" s="414">
        <f>M21</f>
        <v>2.1818181818181816E-2</v>
      </c>
      <c r="N37" s="414"/>
      <c r="O37" s="414">
        <f t="shared" si="4"/>
        <v>2.1818181818181816E-2</v>
      </c>
    </row>
    <row r="38" spans="1:15" ht="20.100000000000001" hidden="1" customHeight="1" x14ac:dyDescent="0.25">
      <c r="A38" s="436"/>
      <c r="B38" s="437" t="str">
        <f t="shared" si="2"/>
        <v>Пипетирование стеклянными пипетками</v>
      </c>
      <c r="C38" s="438" t="str">
        <f t="shared" si="2"/>
        <v>пипетир-е</v>
      </c>
      <c r="D38" s="439">
        <f t="shared" si="2"/>
        <v>0.04</v>
      </c>
      <c r="E38" s="440"/>
      <c r="F38" s="432">
        <f>F35*0</f>
        <v>0</v>
      </c>
      <c r="G38" s="441"/>
      <c r="H38" s="471">
        <f t="shared" si="3"/>
        <v>0.05</v>
      </c>
      <c r="I38" s="444"/>
      <c r="J38" s="444"/>
      <c r="K38" s="425"/>
      <c r="L38" s="426"/>
      <c r="M38" s="414">
        <f>F38*M13/110</f>
        <v>0</v>
      </c>
      <c r="N38" s="414"/>
      <c r="O38" s="414">
        <f t="shared" si="4"/>
        <v>0</v>
      </c>
    </row>
    <row r="39" spans="1:15" ht="20.100000000000001" hidden="1" customHeight="1" x14ac:dyDescent="0.25">
      <c r="A39" s="436"/>
      <c r="B39" s="437" t="str">
        <f t="shared" si="2"/>
        <v>Пипетирование полуавтоматическими дозаторами</v>
      </c>
      <c r="C39" s="438" t="str">
        <f t="shared" si="2"/>
        <v>пипетир-е</v>
      </c>
      <c r="D39" s="439">
        <f t="shared" si="2"/>
        <v>0.04</v>
      </c>
      <c r="E39" s="440"/>
      <c r="F39" s="432">
        <f>F36*0</f>
        <v>0</v>
      </c>
      <c r="G39" s="441"/>
      <c r="H39" s="471">
        <f t="shared" si="3"/>
        <v>0.05</v>
      </c>
      <c r="I39" s="444"/>
      <c r="J39" s="444"/>
      <c r="K39" s="425"/>
      <c r="L39" s="426"/>
      <c r="M39" s="414">
        <f>F39*M13/110</f>
        <v>0</v>
      </c>
      <c r="N39" s="414"/>
      <c r="O39" s="414">
        <f t="shared" si="4"/>
        <v>0</v>
      </c>
    </row>
    <row r="40" spans="1:15" ht="20.100000000000001" hidden="1" customHeight="1" x14ac:dyDescent="0.25">
      <c r="A40" s="436"/>
      <c r="B40" s="437" t="str">
        <f t="shared" si="2"/>
        <v xml:space="preserve"> Определение скорости оседания эритроцитов</v>
      </c>
      <c r="C40" s="438" t="str">
        <f t="shared" si="2"/>
        <v>исслед-ие</v>
      </c>
      <c r="D40" s="439">
        <f t="shared" si="2"/>
        <v>0.25</v>
      </c>
      <c r="E40" s="440"/>
      <c r="F40" s="432">
        <f>F24</f>
        <v>0.02</v>
      </c>
      <c r="G40" s="441"/>
      <c r="H40" s="471">
        <f t="shared" si="3"/>
        <v>0.4</v>
      </c>
      <c r="I40" s="444"/>
      <c r="J40" s="444"/>
      <c r="K40" s="425"/>
      <c r="L40" s="426"/>
      <c r="M40" s="414">
        <f>M24</f>
        <v>9.0909090909090909E-4</v>
      </c>
      <c r="N40" s="414">
        <f>N24</f>
        <v>1.6666666666666668E-3</v>
      </c>
      <c r="O40" s="414">
        <f t="shared" si="4"/>
        <v>2.5757575757575759E-3</v>
      </c>
    </row>
    <row r="41" spans="1:15" ht="20.100000000000001" hidden="1" customHeight="1" x14ac:dyDescent="0.25">
      <c r="A41" s="436"/>
      <c r="B41" s="437" t="str">
        <f t="shared" si="2"/>
        <v>Пипетирование стеклянными пипетками</v>
      </c>
      <c r="C41" s="438" t="str">
        <f t="shared" si="2"/>
        <v>пипетир-е</v>
      </c>
      <c r="D41" s="439">
        <f t="shared" si="2"/>
        <v>0.04</v>
      </c>
      <c r="E41" s="440"/>
      <c r="F41" s="432">
        <f>F38</f>
        <v>0</v>
      </c>
      <c r="G41" s="441"/>
      <c r="H41" s="471">
        <f t="shared" si="3"/>
        <v>0.05</v>
      </c>
      <c r="I41" s="444"/>
      <c r="J41" s="444"/>
      <c r="K41" s="425"/>
      <c r="L41" s="426"/>
      <c r="M41" s="414">
        <f>M38</f>
        <v>0</v>
      </c>
      <c r="N41" s="414"/>
      <c r="O41" s="414">
        <f t="shared" si="4"/>
        <v>0</v>
      </c>
    </row>
    <row r="42" spans="1:15" ht="20.100000000000001" hidden="1" customHeight="1" x14ac:dyDescent="0.25">
      <c r="A42" s="436"/>
      <c r="B42" s="437" t="str">
        <f t="shared" si="2"/>
        <v>Пипетирование стеклянными пипетками</v>
      </c>
      <c r="C42" s="438" t="str">
        <f t="shared" si="2"/>
        <v>пипетир-е</v>
      </c>
      <c r="D42" s="439">
        <f t="shared" si="2"/>
        <v>0.04</v>
      </c>
      <c r="E42" s="440"/>
      <c r="F42" s="432">
        <f>F41</f>
        <v>0</v>
      </c>
      <c r="G42" s="441"/>
      <c r="H42" s="471">
        <f t="shared" si="3"/>
        <v>0.05</v>
      </c>
      <c r="I42" s="444"/>
      <c r="J42" s="444"/>
      <c r="K42" s="425"/>
      <c r="L42" s="426"/>
      <c r="M42" s="414">
        <f>M41</f>
        <v>0</v>
      </c>
      <c r="N42" s="414"/>
      <c r="O42" s="414">
        <f t="shared" si="4"/>
        <v>0</v>
      </c>
    </row>
    <row r="43" spans="1:15" ht="20.100000000000001" hidden="1" customHeight="1" x14ac:dyDescent="0.25">
      <c r="A43" s="436"/>
      <c r="B43" s="437" t="str">
        <f t="shared" si="2"/>
        <v>Пипетирование стеклянными пипетками</v>
      </c>
      <c r="C43" s="438" t="str">
        <f t="shared" si="2"/>
        <v>пипетир-е</v>
      </c>
      <c r="D43" s="439">
        <f t="shared" si="2"/>
        <v>0.04</v>
      </c>
      <c r="E43" s="440"/>
      <c r="F43" s="432">
        <f>F42</f>
        <v>0</v>
      </c>
      <c r="G43" s="441"/>
      <c r="H43" s="471">
        <f t="shared" si="3"/>
        <v>0.05</v>
      </c>
      <c r="I43" s="444"/>
      <c r="J43" s="444"/>
      <c r="K43" s="425"/>
      <c r="L43" s="426"/>
      <c r="M43" s="414">
        <f>M42</f>
        <v>0</v>
      </c>
      <c r="N43" s="414"/>
      <c r="O43" s="414">
        <f t="shared" si="4"/>
        <v>0</v>
      </c>
    </row>
    <row r="44" spans="1:15" ht="20.100000000000001" hidden="1" customHeight="1" x14ac:dyDescent="0.25">
      <c r="A44" s="436"/>
      <c r="B44" s="437" t="str">
        <f t="shared" si="2"/>
        <v>Подсчет лейкоцитов в счетной камере</v>
      </c>
      <c r="C44" s="438" t="str">
        <f t="shared" si="2"/>
        <v>исслед-ие</v>
      </c>
      <c r="D44" s="439">
        <f t="shared" si="2"/>
        <v>1</v>
      </c>
      <c r="E44" s="440"/>
      <c r="F44" s="432">
        <f>F28</f>
        <v>0.05</v>
      </c>
      <c r="G44" s="441"/>
      <c r="H44" s="471">
        <f t="shared" si="3"/>
        <v>1.2</v>
      </c>
      <c r="I44" s="444"/>
      <c r="J44" s="444"/>
      <c r="K44" s="425"/>
      <c r="L44" s="426"/>
      <c r="M44" s="414">
        <f>M28</f>
        <v>1.8181818181818182E-3</v>
      </c>
      <c r="N44" s="414">
        <f>N28</f>
        <v>5.0000000000000001E-3</v>
      </c>
      <c r="O44" s="414">
        <f t="shared" si="4"/>
        <v>6.8181818181818187E-3</v>
      </c>
    </row>
    <row r="45" spans="1:15" ht="20.100000000000001" hidden="1" customHeight="1" x14ac:dyDescent="0.25">
      <c r="A45" s="436"/>
      <c r="B45" s="437" t="str">
        <f t="shared" si="2"/>
        <v>Пипетирование стеклянными пипетками</v>
      </c>
      <c r="C45" s="438" t="str">
        <f t="shared" si="2"/>
        <v>пипетир-е</v>
      </c>
      <c r="D45" s="439">
        <f t="shared" si="2"/>
        <v>0.04</v>
      </c>
      <c r="E45" s="440"/>
      <c r="F45" s="432">
        <f>F42</f>
        <v>0</v>
      </c>
      <c r="G45" s="441"/>
      <c r="H45" s="471">
        <f t="shared" si="3"/>
        <v>0.05</v>
      </c>
      <c r="I45" s="444"/>
      <c r="J45" s="444"/>
      <c r="K45" s="425"/>
      <c r="L45" s="426"/>
      <c r="M45" s="414">
        <f>M43</f>
        <v>0</v>
      </c>
      <c r="N45" s="414"/>
      <c r="O45" s="414">
        <f t="shared" si="4"/>
        <v>0</v>
      </c>
    </row>
    <row r="46" spans="1:15" ht="20.100000000000001" hidden="1" customHeight="1" x14ac:dyDescent="0.25">
      <c r="A46" s="436"/>
      <c r="B46" s="437" t="str">
        <f t="shared" si="2"/>
        <v>Пипетирование полуавтоматическими дозаторами</v>
      </c>
      <c r="C46" s="438" t="str">
        <f t="shared" si="2"/>
        <v>пипетир-е</v>
      </c>
      <c r="D46" s="439">
        <f t="shared" si="2"/>
        <v>0.04</v>
      </c>
      <c r="E46" s="440"/>
      <c r="F46" s="432">
        <f>F39</f>
        <v>0</v>
      </c>
      <c r="G46" s="441"/>
      <c r="H46" s="471">
        <f t="shared" si="3"/>
        <v>0.05</v>
      </c>
      <c r="I46" s="444"/>
      <c r="J46" s="444"/>
      <c r="K46" s="425"/>
      <c r="L46" s="426"/>
      <c r="M46" s="414">
        <f>M39</f>
        <v>0</v>
      </c>
      <c r="N46" s="414"/>
      <c r="O46" s="414">
        <f t="shared" si="4"/>
        <v>0</v>
      </c>
    </row>
    <row r="47" spans="1:15" ht="36.75" hidden="1" customHeight="1" x14ac:dyDescent="0.25">
      <c r="A47" s="436"/>
      <c r="B47" s="437" t="str">
        <f>'[12]21 Приготов.'!A11</f>
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</c>
      <c r="C47" s="429" t="s">
        <v>203</v>
      </c>
      <c r="D47" s="439">
        <f>'[12]21 Приготов.'!G26</f>
        <v>2</v>
      </c>
      <c r="E47" s="440"/>
      <c r="F47" s="432">
        <f>'[12]21 Приготов.'!P27</f>
        <v>0.13</v>
      </c>
      <c r="G47" s="441"/>
      <c r="H47" s="442">
        <f>'[12]21р'!G26</f>
        <v>3</v>
      </c>
      <c r="I47" s="444"/>
      <c r="J47" s="444"/>
      <c r="K47" s="425"/>
      <c r="L47" s="426"/>
      <c r="M47" s="414">
        <f>F47*$M$13/110</f>
        <v>1.1818181818181818E-2</v>
      </c>
      <c r="N47" s="414"/>
      <c r="O47" s="414">
        <f t="shared" si="4"/>
        <v>1.1818181818181818E-2</v>
      </c>
    </row>
    <row r="48" spans="1:15" ht="35.25" hidden="1" customHeight="1" x14ac:dyDescent="0.25">
      <c r="A48" s="436"/>
      <c r="B48" s="437" t="str">
        <f>'[12]22 Морфолог. анализ'!A11</f>
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</c>
      <c r="C48" s="438" t="s">
        <v>204</v>
      </c>
      <c r="D48" s="439">
        <f>'[12]22 Морфолог. анализ'!G26</f>
        <v>1.7</v>
      </c>
      <c r="E48" s="440"/>
      <c r="F48" s="432">
        <f>'[12]22 Морфолог. анализ'!P27</f>
        <v>0.08</v>
      </c>
      <c r="G48" s="441"/>
      <c r="H48" s="442">
        <f>'[12]22р'!G26</f>
        <v>2.35</v>
      </c>
      <c r="I48" s="444"/>
      <c r="J48" s="444"/>
      <c r="K48" s="425"/>
      <c r="L48" s="426"/>
      <c r="M48" s="414">
        <f>F48*$M$13/110</f>
        <v>7.2727272727272727E-3</v>
      </c>
      <c r="N48" s="414"/>
      <c r="O48" s="414">
        <f t="shared" si="4"/>
        <v>7.2727272727272727E-3</v>
      </c>
    </row>
    <row r="49" spans="1:15" ht="12" hidden="1" customHeight="1" x14ac:dyDescent="0.25">
      <c r="A49" s="436"/>
      <c r="B49" s="437" t="str">
        <f>'[12]2 Пипетирование полуав.'!A11</f>
        <v>Пипетирование полуавтоматическими дозаторами</v>
      </c>
      <c r="C49" s="438" t="s">
        <v>205</v>
      </c>
      <c r="D49" s="439">
        <f>'[12]2 Пипетирование полуав.'!G26</f>
        <v>0.04</v>
      </c>
      <c r="E49" s="440"/>
      <c r="F49" s="432">
        <f>F39</f>
        <v>0</v>
      </c>
      <c r="G49" s="441"/>
      <c r="H49" s="442">
        <f>'[12]2а р '!G26</f>
        <v>0.05</v>
      </c>
      <c r="I49" s="444"/>
      <c r="J49" s="444"/>
      <c r="K49" s="425"/>
      <c r="L49" s="426"/>
      <c r="M49" s="414">
        <f>M46</f>
        <v>0</v>
      </c>
      <c r="N49" s="414"/>
      <c r="O49" s="414">
        <f t="shared" si="4"/>
        <v>0</v>
      </c>
    </row>
    <row r="50" spans="1:15" ht="12" hidden="1" customHeight="1" x14ac:dyDescent="0.25">
      <c r="A50" s="436"/>
      <c r="B50" s="437" t="str">
        <f>'[12]2 Пипетирование полуав.'!A11</f>
        <v>Пипетирование полуавтоматическими дозаторами</v>
      </c>
      <c r="C50" s="438" t="s">
        <v>205</v>
      </c>
      <c r="D50" s="439">
        <f>D49</f>
        <v>0.04</v>
      </c>
      <c r="E50" s="440"/>
      <c r="F50" s="432">
        <f>F39</f>
        <v>0</v>
      </c>
      <c r="G50" s="441"/>
      <c r="H50" s="442">
        <f>H49</f>
        <v>0.05</v>
      </c>
      <c r="I50" s="444"/>
      <c r="J50" s="444"/>
      <c r="K50" s="425"/>
      <c r="L50" s="426"/>
      <c r="M50" s="414">
        <f>M46</f>
        <v>0</v>
      </c>
      <c r="N50" s="414"/>
      <c r="O50" s="414">
        <f t="shared" si="4"/>
        <v>0</v>
      </c>
    </row>
    <row r="51" spans="1:15" ht="12" hidden="1" customHeight="1" x14ac:dyDescent="0.25">
      <c r="A51" s="436"/>
      <c r="B51" s="437" t="str">
        <f>'[12]2 Пипетирование полуав.'!A11</f>
        <v>Пипетирование полуавтоматическими дозаторами</v>
      </c>
      <c r="C51" s="438" t="s">
        <v>205</v>
      </c>
      <c r="D51" s="439">
        <f>D50</f>
        <v>0.04</v>
      </c>
      <c r="E51" s="440"/>
      <c r="F51" s="432">
        <f>F49</f>
        <v>0</v>
      </c>
      <c r="G51" s="441"/>
      <c r="H51" s="442">
        <f>H50</f>
        <v>0.05</v>
      </c>
      <c r="I51" s="444"/>
      <c r="J51" s="444"/>
      <c r="K51" s="425"/>
      <c r="L51" s="426"/>
      <c r="M51" s="414">
        <f>M49</f>
        <v>0</v>
      </c>
      <c r="N51" s="414"/>
      <c r="O51" s="414">
        <f t="shared" si="4"/>
        <v>0</v>
      </c>
    </row>
    <row r="52" spans="1:15" ht="12" hidden="1" customHeight="1" x14ac:dyDescent="0.25">
      <c r="A52" s="445"/>
      <c r="B52" s="446" t="str">
        <f>'[12]7 прием'!A11</f>
        <v>Прием и регистрация проб</v>
      </c>
      <c r="C52" s="447" t="s">
        <v>207</v>
      </c>
      <c r="D52" s="448">
        <f>'[12]7 прием'!G26</f>
        <v>0.6</v>
      </c>
      <c r="E52" s="449" t="s">
        <v>25</v>
      </c>
      <c r="F52" s="450">
        <f>'[12]7 прием'!P27</f>
        <v>0.08</v>
      </c>
      <c r="G52" s="451"/>
      <c r="H52" s="452">
        <f>'[12]7 р  '!G26</f>
        <v>0.6</v>
      </c>
      <c r="I52" s="472" t="s">
        <v>25</v>
      </c>
      <c r="J52" s="444"/>
      <c r="K52" s="425"/>
      <c r="L52" s="426"/>
      <c r="M52" s="414">
        <f>M31</f>
        <v>9.0909090909090909E-4</v>
      </c>
      <c r="N52" s="414">
        <f>N31</f>
        <v>1.1666666666666667E-2</v>
      </c>
      <c r="O52" s="414">
        <f t="shared" si="4"/>
        <v>1.2575757575757577E-2</v>
      </c>
    </row>
    <row r="53" spans="1:15" ht="19.5" hidden="1" thickBot="1" x14ac:dyDescent="0.3">
      <c r="A53" s="473" t="s">
        <v>27</v>
      </c>
      <c r="B53" s="474" t="s">
        <v>208</v>
      </c>
      <c r="C53" s="455"/>
      <c r="D53" s="475">
        <f>SUM(D54:D63)</f>
        <v>3.8300000000000005</v>
      </c>
      <c r="E53" s="476" t="s">
        <v>25</v>
      </c>
      <c r="F53" s="477">
        <f>SUM(F54:F63)</f>
        <v>2.08</v>
      </c>
      <c r="G53" s="475">
        <f>'[12]9р'!G27</f>
        <v>137.97</v>
      </c>
      <c r="H53" s="478">
        <f>SUM(H54:H63)</f>
        <v>5.8199999999999985</v>
      </c>
      <c r="I53" s="479" t="s">
        <v>25</v>
      </c>
      <c r="J53" s="480">
        <f>H53/$L$16</f>
        <v>1.7765567765567762</v>
      </c>
      <c r="K53" s="426"/>
      <c r="L53" s="426"/>
      <c r="M53" s="414">
        <f>SUM(M54:M63)</f>
        <v>0.18272727272727274</v>
      </c>
      <c r="N53" s="414">
        <f>SUM(N54:N63)</f>
        <v>1.1666666666666667E-2</v>
      </c>
      <c r="O53" s="414">
        <f>SUM(O54:O63)</f>
        <v>0.1943939393939394</v>
      </c>
    </row>
    <row r="54" spans="1:15" ht="36.75" hidden="1" customHeight="1" x14ac:dyDescent="0.25">
      <c r="A54" s="481"/>
      <c r="B54" s="482" t="s">
        <v>209</v>
      </c>
      <c r="C54" s="483" t="s">
        <v>203</v>
      </c>
      <c r="D54" s="484">
        <f>'[12]8 Забор кров 1 показ'!G26</f>
        <v>0.25</v>
      </c>
      <c r="E54" s="485" t="s">
        <v>25</v>
      </c>
      <c r="F54" s="486">
        <f>'[12]8 Забор кров 1 показ'!P27</f>
        <v>1.34</v>
      </c>
      <c r="G54" s="487"/>
      <c r="H54" s="488">
        <f>'[12]8р  '!G26</f>
        <v>0.35</v>
      </c>
      <c r="I54" s="489" t="s">
        <v>25</v>
      </c>
      <c r="J54" s="490"/>
      <c r="K54" s="426"/>
      <c r="L54" s="426"/>
      <c r="M54" s="414">
        <f>F54*M13/110</f>
        <v>0.12181818181818183</v>
      </c>
      <c r="N54" s="414"/>
      <c r="O54" s="414">
        <f>M54+N54</f>
        <v>0.12181818181818183</v>
      </c>
    </row>
    <row r="55" spans="1:15" ht="20.100000000000001" hidden="1" customHeight="1" x14ac:dyDescent="0.25">
      <c r="A55" s="491"/>
      <c r="B55" s="492" t="str">
        <f>'[12]2 Пипетирование стек.'!A11</f>
        <v>Пипетирование стеклянными пипетками</v>
      </c>
      <c r="C55" s="493" t="s">
        <v>205</v>
      </c>
      <c r="D55" s="494">
        <f>D29</f>
        <v>0.04</v>
      </c>
      <c r="E55" s="495"/>
      <c r="F55" s="434">
        <f>F19</f>
        <v>0.3</v>
      </c>
      <c r="G55" s="496"/>
      <c r="H55" s="497">
        <f>H29</f>
        <v>0.05</v>
      </c>
      <c r="I55" s="498"/>
      <c r="J55" s="490"/>
      <c r="K55" s="426"/>
      <c r="L55" s="426"/>
      <c r="M55" s="414">
        <f>F55*M13/110</f>
        <v>2.7272727272727271E-2</v>
      </c>
      <c r="N55" s="414"/>
      <c r="O55" s="414">
        <f t="shared" ref="O55:O63" si="5">M55+N55</f>
        <v>2.7272727272727271E-2</v>
      </c>
    </row>
    <row r="56" spans="1:15" ht="20.100000000000001" hidden="1" customHeight="1" x14ac:dyDescent="0.25">
      <c r="A56" s="491"/>
      <c r="B56" s="492" t="str">
        <f>'[12]2 Пипетирование стек.'!A11</f>
        <v>Пипетирование стеклянными пипетками</v>
      </c>
      <c r="C56" s="493" t="s">
        <v>205</v>
      </c>
      <c r="D56" s="494">
        <f>D55</f>
        <v>0.04</v>
      </c>
      <c r="E56" s="495"/>
      <c r="F56" s="434">
        <f>F55*0</f>
        <v>0</v>
      </c>
      <c r="G56" s="496"/>
      <c r="H56" s="497">
        <f>H55</f>
        <v>0.05</v>
      </c>
      <c r="I56" s="498"/>
      <c r="J56" s="490"/>
      <c r="K56" s="426"/>
      <c r="L56" s="426"/>
      <c r="M56" s="414">
        <f>F56*M13/110</f>
        <v>0</v>
      </c>
      <c r="N56" s="414"/>
      <c r="O56" s="414">
        <f t="shared" si="5"/>
        <v>0</v>
      </c>
    </row>
    <row r="57" spans="1:15" ht="20.100000000000001" hidden="1" customHeight="1" x14ac:dyDescent="0.25">
      <c r="A57" s="491"/>
      <c r="B57" s="492" t="str">
        <f>'[12]2 Пипетирование стек.'!A11</f>
        <v>Пипетирование стеклянными пипетками</v>
      </c>
      <c r="C57" s="493" t="s">
        <v>205</v>
      </c>
      <c r="D57" s="494">
        <f>D56</f>
        <v>0.04</v>
      </c>
      <c r="E57" s="495"/>
      <c r="F57" s="434">
        <f>F56</f>
        <v>0</v>
      </c>
      <c r="G57" s="496"/>
      <c r="H57" s="497">
        <f>H56</f>
        <v>0.05</v>
      </c>
      <c r="I57" s="498"/>
      <c r="J57" s="490"/>
      <c r="K57" s="426"/>
      <c r="L57" s="426"/>
      <c r="M57" s="414">
        <f>M56</f>
        <v>0</v>
      </c>
      <c r="N57" s="414"/>
      <c r="O57" s="414">
        <f t="shared" si="5"/>
        <v>0</v>
      </c>
    </row>
    <row r="58" spans="1:15" ht="20.100000000000001" hidden="1" customHeight="1" x14ac:dyDescent="0.25">
      <c r="A58" s="491"/>
      <c r="B58" s="492" t="str">
        <f>'[12]9 Тромбоциты'!A11</f>
        <v>Подсчет тромбоцитов в окрашенных мазках по Фонио</v>
      </c>
      <c r="C58" s="499" t="s">
        <v>204</v>
      </c>
      <c r="D58" s="494">
        <f>'[12]9 Тромбоциты'!G26</f>
        <v>2.7</v>
      </c>
      <c r="E58" s="495" t="s">
        <v>25</v>
      </c>
      <c r="F58" s="434">
        <f>'[12]9 Тромбоциты'!P27</f>
        <v>0.18</v>
      </c>
      <c r="G58" s="496"/>
      <c r="H58" s="497">
        <f>'[12]9р'!G26</f>
        <v>4.5199999999999996</v>
      </c>
      <c r="I58" s="498" t="s">
        <v>25</v>
      </c>
      <c r="J58" s="490"/>
      <c r="K58" s="426"/>
      <c r="L58" s="426"/>
      <c r="M58" s="414">
        <f>F58*M13/110</f>
        <v>1.6363636363636361E-2</v>
      </c>
      <c r="N58" s="414"/>
      <c r="O58" s="414">
        <f t="shared" si="5"/>
        <v>1.6363636363636361E-2</v>
      </c>
    </row>
    <row r="59" spans="1:15" ht="20.100000000000001" hidden="1" customHeight="1" x14ac:dyDescent="0.25">
      <c r="A59" s="491"/>
      <c r="B59" s="492" t="str">
        <f>'[12]2 Пипетирование полуав.'!A11</f>
        <v>Пипетирование полуавтоматическими дозаторами</v>
      </c>
      <c r="C59" s="493" t="s">
        <v>205</v>
      </c>
      <c r="D59" s="494">
        <f>D23</f>
        <v>0.04</v>
      </c>
      <c r="E59" s="495"/>
      <c r="F59" s="434">
        <f>F20</f>
        <v>0.18</v>
      </c>
      <c r="G59" s="496"/>
      <c r="H59" s="497">
        <f>H23</f>
        <v>0.05</v>
      </c>
      <c r="I59" s="498"/>
      <c r="J59" s="490"/>
      <c r="K59" s="426"/>
      <c r="L59" s="426"/>
      <c r="M59" s="414">
        <f>F59*M13/110</f>
        <v>1.6363636363636361E-2</v>
      </c>
      <c r="N59" s="414"/>
      <c r="O59" s="414">
        <f t="shared" si="5"/>
        <v>1.6363636363636361E-2</v>
      </c>
    </row>
    <row r="60" spans="1:15" ht="20.100000000000001" hidden="1" customHeight="1" x14ac:dyDescent="0.25">
      <c r="A60" s="491"/>
      <c r="B60" s="492" t="str">
        <f>'[12]2 Пипетирование полуав.'!A11</f>
        <v>Пипетирование полуавтоматическими дозаторами</v>
      </c>
      <c r="C60" s="493" t="s">
        <v>205</v>
      </c>
      <c r="D60" s="494">
        <f>D59</f>
        <v>0.04</v>
      </c>
      <c r="E60" s="495"/>
      <c r="F60" s="434">
        <f>F59*0</f>
        <v>0</v>
      </c>
      <c r="G60" s="496"/>
      <c r="H60" s="497">
        <f>H59</f>
        <v>0.05</v>
      </c>
      <c r="I60" s="498"/>
      <c r="J60" s="490"/>
      <c r="K60" s="426"/>
      <c r="L60" s="426"/>
      <c r="M60" s="414">
        <f>F60*M13/110</f>
        <v>0</v>
      </c>
      <c r="N60" s="414"/>
      <c r="O60" s="414">
        <f t="shared" si="5"/>
        <v>0</v>
      </c>
    </row>
    <row r="61" spans="1:15" ht="20.100000000000001" hidden="1" customHeight="1" x14ac:dyDescent="0.25">
      <c r="A61" s="491"/>
      <c r="B61" s="492" t="str">
        <f>'[12]2 Пипетирование полуав.'!A11</f>
        <v>Пипетирование полуавтоматическими дозаторами</v>
      </c>
      <c r="C61" s="493" t="s">
        <v>205</v>
      </c>
      <c r="D61" s="494">
        <f>D60</f>
        <v>0.04</v>
      </c>
      <c r="E61" s="495"/>
      <c r="F61" s="434">
        <f>F60</f>
        <v>0</v>
      </c>
      <c r="G61" s="496"/>
      <c r="H61" s="497">
        <f>H60</f>
        <v>0.05</v>
      </c>
      <c r="I61" s="498"/>
      <c r="J61" s="490"/>
      <c r="K61" s="426"/>
      <c r="L61" s="426"/>
      <c r="M61" s="414">
        <f>M60</f>
        <v>0</v>
      </c>
      <c r="N61" s="414"/>
      <c r="O61" s="414">
        <f t="shared" si="5"/>
        <v>0</v>
      </c>
    </row>
    <row r="62" spans="1:15" ht="20.100000000000001" hidden="1" customHeight="1" x14ac:dyDescent="0.25">
      <c r="A62" s="491"/>
      <c r="B62" s="492" t="str">
        <f>'[12]2 Пипетирование полуав.'!A11</f>
        <v>Пипетирование полуавтоматическими дозаторами</v>
      </c>
      <c r="C62" s="493" t="s">
        <v>205</v>
      </c>
      <c r="D62" s="494">
        <f>D61</f>
        <v>0.04</v>
      </c>
      <c r="E62" s="495"/>
      <c r="F62" s="434">
        <f>F61</f>
        <v>0</v>
      </c>
      <c r="G62" s="496"/>
      <c r="H62" s="497">
        <f>H61</f>
        <v>0.05</v>
      </c>
      <c r="I62" s="498"/>
      <c r="J62" s="490"/>
      <c r="K62" s="426"/>
      <c r="L62" s="426"/>
      <c r="M62" s="414">
        <f>M61</f>
        <v>0</v>
      </c>
      <c r="N62" s="414"/>
      <c r="O62" s="414">
        <f t="shared" si="5"/>
        <v>0</v>
      </c>
    </row>
    <row r="63" spans="1:15" ht="20.100000000000001" hidden="1" customHeight="1" x14ac:dyDescent="0.25">
      <c r="A63" s="500"/>
      <c r="B63" s="501" t="str">
        <f>B52</f>
        <v>Прием и регистрация проб</v>
      </c>
      <c r="C63" s="502" t="s">
        <v>207</v>
      </c>
      <c r="D63" s="503">
        <f>D52</f>
        <v>0.6</v>
      </c>
      <c r="E63" s="504" t="s">
        <v>25</v>
      </c>
      <c r="F63" s="505">
        <f>F52</f>
        <v>0.08</v>
      </c>
      <c r="G63" s="506"/>
      <c r="H63" s="507">
        <f>H52</f>
        <v>0.6</v>
      </c>
      <c r="I63" s="498" t="s">
        <v>25</v>
      </c>
      <c r="J63" s="490"/>
      <c r="K63" s="426"/>
      <c r="L63" s="426"/>
      <c r="M63" s="414">
        <f>M52</f>
        <v>9.0909090909090909E-4</v>
      </c>
      <c r="N63" s="414">
        <f>N52</f>
        <v>1.1666666666666667E-2</v>
      </c>
      <c r="O63" s="414">
        <f t="shared" si="5"/>
        <v>1.2575757575757577E-2</v>
      </c>
    </row>
    <row r="64" spans="1:15" s="20" customFormat="1" ht="20.25" hidden="1" customHeight="1" x14ac:dyDescent="0.25">
      <c r="A64" s="508" t="s">
        <v>92</v>
      </c>
      <c r="B64" s="509" t="s">
        <v>210</v>
      </c>
      <c r="C64" s="509"/>
      <c r="D64" s="509"/>
      <c r="E64" s="510"/>
      <c r="F64" s="511"/>
      <c r="G64" s="512"/>
      <c r="H64" s="513"/>
      <c r="I64" s="514"/>
      <c r="J64" s="515"/>
      <c r="K64" s="516"/>
      <c r="L64" s="516"/>
      <c r="M64" s="517"/>
      <c r="N64" s="517"/>
      <c r="O64" s="517"/>
    </row>
    <row r="65" spans="1:15" s="20" customFormat="1" ht="52.5" hidden="1" customHeight="1" x14ac:dyDescent="0.25">
      <c r="A65" s="518" t="s">
        <v>72</v>
      </c>
      <c r="B65" s="519" t="s">
        <v>211</v>
      </c>
      <c r="C65" s="520"/>
      <c r="D65" s="521">
        <f>SUM(D66:D72)</f>
        <v>2.3000000000000003</v>
      </c>
      <c r="E65" s="522"/>
      <c r="F65" s="523">
        <f>SUM(F66:F72)</f>
        <v>1.81</v>
      </c>
      <c r="G65" s="524"/>
      <c r="H65" s="525">
        <f>SUM(H66:H72)</f>
        <v>3.0799999999999996</v>
      </c>
      <c r="I65" s="526"/>
      <c r="J65" s="527"/>
      <c r="K65" s="516"/>
      <c r="L65" s="516"/>
      <c r="M65" s="517">
        <f>SUM(M66:M72)</f>
        <v>0.1581818181818182</v>
      </c>
      <c r="N65" s="517">
        <f>SUM(N66:N72)</f>
        <v>1.1666666666666667E-2</v>
      </c>
      <c r="O65" s="517">
        <f>SUM(O66:O72)</f>
        <v>0.16984848484848486</v>
      </c>
    </row>
    <row r="66" spans="1:15" ht="36.75" hidden="1" customHeight="1" x14ac:dyDescent="0.25">
      <c r="A66" s="528"/>
      <c r="B66" s="463" t="str">
        <f>B54</f>
        <v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v>
      </c>
      <c r="C66" s="464" t="s">
        <v>203</v>
      </c>
      <c r="D66" s="465">
        <f>D54</f>
        <v>0.25</v>
      </c>
      <c r="E66" s="466" t="s">
        <v>25</v>
      </c>
      <c r="F66" s="420">
        <f>F54</f>
        <v>1.34</v>
      </c>
      <c r="G66" s="467"/>
      <c r="H66" s="468">
        <f>H54</f>
        <v>0.35</v>
      </c>
      <c r="I66" s="529"/>
      <c r="J66" s="530"/>
      <c r="M66" s="414">
        <f t="shared" ref="M66:M71" si="6">F66*$M$13/110</f>
        <v>0.12181818181818183</v>
      </c>
      <c r="N66" s="414"/>
      <c r="O66" s="414">
        <f>M66+N66</f>
        <v>0.12181818181818183</v>
      </c>
    </row>
    <row r="67" spans="1:15" ht="20.100000000000001" hidden="1" customHeight="1" x14ac:dyDescent="0.25">
      <c r="A67" s="531"/>
      <c r="B67" s="437" t="str">
        <f>'[12]10 Обработка крови для сыворотк'!A11</f>
        <v>Обработка  крови для получения сыворотки</v>
      </c>
      <c r="C67" s="438" t="s">
        <v>203</v>
      </c>
      <c r="D67" s="439">
        <f>'[12]10 Обработка крови для сыворотк'!G26</f>
        <v>0.45</v>
      </c>
      <c r="E67" s="440" t="s">
        <v>25</v>
      </c>
      <c r="F67" s="432">
        <f>'[12]10 Обработка крови для сыворотк'!P28</f>
        <v>0.02</v>
      </c>
      <c r="G67" s="441"/>
      <c r="H67" s="442">
        <f>'[12]10  р'!G26</f>
        <v>0.64</v>
      </c>
      <c r="I67" s="443"/>
      <c r="J67" s="480"/>
      <c r="M67" s="414">
        <f t="shared" si="6"/>
        <v>1.8181818181818182E-3</v>
      </c>
      <c r="N67" s="414"/>
      <c r="O67" s="414">
        <f t="shared" ref="O67:O72" si="7">M67+N67</f>
        <v>1.8181818181818182E-3</v>
      </c>
    </row>
    <row r="68" spans="1:15" ht="20.100000000000001" hidden="1" customHeight="1" x14ac:dyDescent="0.25">
      <c r="A68" s="531"/>
      <c r="B68" s="437" t="str">
        <f>B60</f>
        <v>Пипетирование полуавтоматическими дозаторами</v>
      </c>
      <c r="C68" s="438" t="str">
        <f>C60</f>
        <v>пипетир-е</v>
      </c>
      <c r="D68" s="439">
        <f>D60</f>
        <v>0.04</v>
      </c>
      <c r="E68" s="440"/>
      <c r="F68" s="432">
        <f>F59</f>
        <v>0.18</v>
      </c>
      <c r="G68" s="441"/>
      <c r="H68" s="442">
        <f>H59</f>
        <v>0.05</v>
      </c>
      <c r="I68" s="443"/>
      <c r="J68" s="480"/>
      <c r="M68" s="414">
        <f t="shared" si="6"/>
        <v>1.6363636363636361E-2</v>
      </c>
      <c r="N68" s="414"/>
      <c r="O68" s="414">
        <f t="shared" si="7"/>
        <v>1.6363636363636361E-2</v>
      </c>
    </row>
    <row r="69" spans="1:15" ht="20.100000000000001" hidden="1" customHeight="1" x14ac:dyDescent="0.25">
      <c r="A69" s="531"/>
      <c r="B69" s="532" t="str">
        <f>'[12]11 Глюкоза'!A11</f>
        <v>Определение глюкозы ферментативным методом</v>
      </c>
      <c r="C69" s="438" t="s">
        <v>204</v>
      </c>
      <c r="D69" s="439">
        <f>'[12]11 Глюкоза'!G26</f>
        <v>0.88</v>
      </c>
      <c r="E69" s="440" t="s">
        <v>25</v>
      </c>
      <c r="F69" s="432">
        <f>'[12]11 Глюкоза'!P28</f>
        <v>0.19</v>
      </c>
      <c r="G69" s="441"/>
      <c r="H69" s="442">
        <f>'[12]11р'!G26</f>
        <v>1.34</v>
      </c>
      <c r="I69" s="443"/>
      <c r="J69" s="480"/>
      <c r="M69" s="414">
        <f t="shared" si="6"/>
        <v>1.7272727272727273E-2</v>
      </c>
      <c r="N69" s="414"/>
      <c r="O69" s="414">
        <f t="shared" si="7"/>
        <v>1.7272727272727273E-2</v>
      </c>
    </row>
    <row r="70" spans="1:15" ht="20.100000000000001" hidden="1" customHeight="1" x14ac:dyDescent="0.25">
      <c r="A70" s="531"/>
      <c r="B70" s="532" t="str">
        <f>B59</f>
        <v>Пипетирование полуавтоматическими дозаторами</v>
      </c>
      <c r="C70" s="438" t="s">
        <v>205</v>
      </c>
      <c r="D70" s="439">
        <f>D68</f>
        <v>0.04</v>
      </c>
      <c r="E70" s="440"/>
      <c r="F70" s="432">
        <f>F68*0</f>
        <v>0</v>
      </c>
      <c r="G70" s="441"/>
      <c r="H70" s="442">
        <f>H68</f>
        <v>0.05</v>
      </c>
      <c r="I70" s="443"/>
      <c r="J70" s="480"/>
      <c r="M70" s="414">
        <f t="shared" si="6"/>
        <v>0</v>
      </c>
      <c r="N70" s="414"/>
      <c r="O70" s="414">
        <f t="shared" si="7"/>
        <v>0</v>
      </c>
    </row>
    <row r="71" spans="1:15" ht="20.100000000000001" hidden="1" customHeight="1" x14ac:dyDescent="0.25">
      <c r="A71" s="531"/>
      <c r="B71" s="532" t="str">
        <f>B60</f>
        <v>Пипетирование полуавтоматическими дозаторами</v>
      </c>
      <c r="C71" s="438" t="s">
        <v>205</v>
      </c>
      <c r="D71" s="439">
        <f>D70</f>
        <v>0.04</v>
      </c>
      <c r="E71" s="440"/>
      <c r="F71" s="432">
        <f>F70</f>
        <v>0</v>
      </c>
      <c r="G71" s="441"/>
      <c r="H71" s="442">
        <f>H70</f>
        <v>0.05</v>
      </c>
      <c r="I71" s="443"/>
      <c r="J71" s="480"/>
      <c r="M71" s="414">
        <f t="shared" si="6"/>
        <v>0</v>
      </c>
      <c r="N71" s="414"/>
      <c r="O71" s="414">
        <f t="shared" si="7"/>
        <v>0</v>
      </c>
    </row>
    <row r="72" spans="1:15" ht="20.100000000000001" hidden="1" customHeight="1" x14ac:dyDescent="0.25">
      <c r="A72" s="533"/>
      <c r="B72" s="446" t="str">
        <f>B63</f>
        <v>Прием и регистрация проб</v>
      </c>
      <c r="C72" s="534" t="s">
        <v>207</v>
      </c>
      <c r="D72" s="448">
        <f>D63</f>
        <v>0.6</v>
      </c>
      <c r="E72" s="449" t="s">
        <v>25</v>
      </c>
      <c r="F72" s="450">
        <f>F63</f>
        <v>0.08</v>
      </c>
      <c r="G72" s="535"/>
      <c r="H72" s="452">
        <f>H63</f>
        <v>0.6</v>
      </c>
      <c r="I72" s="472"/>
      <c r="J72" s="480"/>
      <c r="M72" s="414">
        <f>M63</f>
        <v>9.0909090909090909E-4</v>
      </c>
      <c r="N72" s="414">
        <f>N63</f>
        <v>1.1666666666666667E-2</v>
      </c>
      <c r="O72" s="414">
        <f t="shared" si="7"/>
        <v>1.2575757575757577E-2</v>
      </c>
    </row>
    <row r="73" spans="1:15" s="20" customFormat="1" ht="21.75" hidden="1" customHeight="1" x14ac:dyDescent="0.25">
      <c r="A73" s="508" t="s">
        <v>94</v>
      </c>
      <c r="B73" s="769" t="s">
        <v>212</v>
      </c>
      <c r="C73" s="770"/>
      <c r="D73" s="770"/>
      <c r="E73" s="770"/>
      <c r="F73" s="770"/>
      <c r="G73" s="770"/>
      <c r="H73" s="770"/>
      <c r="I73" s="770"/>
      <c r="J73" s="771"/>
      <c r="M73" s="517"/>
      <c r="N73" s="517"/>
      <c r="O73" s="517"/>
    </row>
    <row r="74" spans="1:15" ht="26.25" hidden="1" customHeight="1" x14ac:dyDescent="0.25">
      <c r="A74" s="536" t="s">
        <v>96</v>
      </c>
      <c r="B74" s="537" t="s">
        <v>213</v>
      </c>
      <c r="C74" s="538"/>
      <c r="D74" s="539">
        <f>SUM(D75:D84)</f>
        <v>3.5500000000000003</v>
      </c>
      <c r="E74" s="476" t="s">
        <v>25</v>
      </c>
      <c r="F74" s="540">
        <f>SUM(F75:F84)</f>
        <v>1.1299999999999999</v>
      </c>
      <c r="G74" s="541" t="e">
        <f>#REF!</f>
        <v>#REF!</v>
      </c>
      <c r="H74" s="478">
        <f>SUM(H75:H84)</f>
        <v>5.2799999999999994</v>
      </c>
      <c r="I74" s="542" t="s">
        <v>25</v>
      </c>
      <c r="J74" s="480">
        <f>H74/$L$16</f>
        <v>1.6117216117216115</v>
      </c>
      <c r="K74" s="230">
        <f>J75+J76+J77+J82+J83+J84</f>
        <v>0</v>
      </c>
      <c r="M74" s="414">
        <f>SUM(M75:M84)</f>
        <v>9.4545454545454544E-2</v>
      </c>
      <c r="N74" s="414">
        <f>SUM(N75:N84)</f>
        <v>1.5000000000000001E-2</v>
      </c>
      <c r="O74" s="414">
        <f>SUM(O75:O84)</f>
        <v>0.10954545454545453</v>
      </c>
    </row>
    <row r="75" spans="1:15" ht="75.75" hidden="1" thickBot="1" x14ac:dyDescent="0.3">
      <c r="A75" s="528"/>
      <c r="B75" s="416" t="str">
        <f>'[12]12 рН мочи'!A11</f>
        <v xml:space="preserve">Определение количества, цвета, прозрачности, наличия осадка, относительной плотности, рН  </v>
      </c>
      <c r="C75" s="464" t="s">
        <v>204</v>
      </c>
      <c r="D75" s="465">
        <f>'[12]12 рН мочи'!G26</f>
        <v>0.24</v>
      </c>
      <c r="E75" s="543" t="s">
        <v>25</v>
      </c>
      <c r="F75" s="420">
        <f>'[12]12 рН мочи'!P27</f>
        <v>0.08</v>
      </c>
      <c r="G75" s="467"/>
      <c r="H75" s="468">
        <f>'[12]12 р  '!G26</f>
        <v>0.42</v>
      </c>
      <c r="I75" s="529" t="s">
        <v>25</v>
      </c>
      <c r="J75" s="544"/>
      <c r="M75" s="414">
        <f t="shared" ref="M75:M82" si="8">F75*$M$13/110</f>
        <v>7.2727272727272727E-3</v>
      </c>
      <c r="N75" s="414"/>
      <c r="O75" s="414">
        <f>M75+N75</f>
        <v>7.2727272727272727E-3</v>
      </c>
    </row>
    <row r="76" spans="1:15" ht="12" hidden="1" customHeight="1" x14ac:dyDescent="0.25">
      <c r="A76" s="531"/>
      <c r="B76" s="437" t="str">
        <f>'[12]13 Глюкоза в моче'!A11</f>
        <v>Обнаружение глюкозы экспресс-тестом</v>
      </c>
      <c r="C76" s="438" t="s">
        <v>204</v>
      </c>
      <c r="D76" s="439">
        <f>'[12]13 Глюкоза в моче'!G27</f>
        <v>0.37</v>
      </c>
      <c r="E76" s="545" t="s">
        <v>25</v>
      </c>
      <c r="F76" s="432">
        <f>'[12]13 Глюкоза в моче'!P28</f>
        <v>0.09</v>
      </c>
      <c r="G76" s="441"/>
      <c r="H76" s="442">
        <f>'[12]13 р  '!G26</f>
        <v>0.6</v>
      </c>
      <c r="I76" s="443" t="s">
        <v>25</v>
      </c>
      <c r="J76" s="544"/>
      <c r="M76" s="414">
        <f t="shared" si="8"/>
        <v>8.1818181818181807E-3</v>
      </c>
      <c r="N76" s="414"/>
      <c r="O76" s="414">
        <f t="shared" ref="O76:O84" si="9">M76+N76</f>
        <v>8.1818181818181807E-3</v>
      </c>
    </row>
    <row r="77" spans="1:15" ht="12" hidden="1" customHeight="1" x14ac:dyDescent="0.25">
      <c r="A77" s="531"/>
      <c r="B77" s="437" t="str">
        <f>'[12]14 Белок в моче'!A11</f>
        <v>Обнаружение белка с сульфосалициловой кислотой</v>
      </c>
      <c r="C77" s="438" t="s">
        <v>204</v>
      </c>
      <c r="D77" s="439">
        <f>'[12]14 Белок в моче'!G26</f>
        <v>0.25</v>
      </c>
      <c r="E77" s="545" t="s">
        <v>25</v>
      </c>
      <c r="F77" s="432">
        <f>'[12]14 Белок в моче'!P27</f>
        <v>0.03</v>
      </c>
      <c r="G77" s="441"/>
      <c r="H77" s="442">
        <f>'[12]14 р'!G26</f>
        <v>0.35</v>
      </c>
      <c r="I77" s="443" t="s">
        <v>25</v>
      </c>
      <c r="J77" s="544"/>
      <c r="M77" s="414">
        <f t="shared" si="8"/>
        <v>2.7272727272727271E-3</v>
      </c>
      <c r="N77" s="414"/>
      <c r="O77" s="414">
        <f t="shared" si="9"/>
        <v>2.7272727272727271E-3</v>
      </c>
    </row>
    <row r="78" spans="1:15" ht="12" hidden="1" customHeight="1" x14ac:dyDescent="0.25">
      <c r="A78" s="436"/>
      <c r="B78" s="532" t="str">
        <f>B70</f>
        <v>Пипетирование полуавтоматическими дозаторами</v>
      </c>
      <c r="C78" s="438" t="s">
        <v>205</v>
      </c>
      <c r="D78" s="439">
        <f>D70</f>
        <v>0.04</v>
      </c>
      <c r="E78" s="545" t="str">
        <f>E76</f>
        <v>-</v>
      </c>
      <c r="F78" s="432">
        <f>F68</f>
        <v>0.18</v>
      </c>
      <c r="G78" s="441">
        <f>G76</f>
        <v>0</v>
      </c>
      <c r="H78" s="442">
        <f>H70</f>
        <v>0.05</v>
      </c>
      <c r="I78" s="444" t="str">
        <f>I76</f>
        <v>-</v>
      </c>
      <c r="J78" s="444"/>
      <c r="K78" s="425"/>
      <c r="L78" s="426"/>
      <c r="M78" s="414">
        <f t="shared" si="8"/>
        <v>1.6363636363636361E-2</v>
      </c>
      <c r="N78" s="414"/>
      <c r="O78" s="414">
        <f t="shared" si="9"/>
        <v>1.6363636363636361E-2</v>
      </c>
    </row>
    <row r="79" spans="1:15" ht="12" hidden="1" customHeight="1" x14ac:dyDescent="0.25">
      <c r="A79" s="436"/>
      <c r="B79" s="532" t="str">
        <f>'[12]15 Белок в моче 2'!A11</f>
        <v>Определение белка с сульфосалициловой кислотой</v>
      </c>
      <c r="C79" s="438" t="s">
        <v>204</v>
      </c>
      <c r="D79" s="439">
        <f>'[12]15 Белок в моче 2'!G26</f>
        <v>1</v>
      </c>
      <c r="E79" s="545"/>
      <c r="F79" s="432">
        <f>'[12]15 Белок в моче 2'!P27</f>
        <v>0.3</v>
      </c>
      <c r="G79" s="441"/>
      <c r="H79" s="442">
        <f>'[12]15 р 2'!G26</f>
        <v>1.56</v>
      </c>
      <c r="I79" s="444"/>
      <c r="J79" s="444"/>
      <c r="K79" s="425"/>
      <c r="L79" s="426"/>
      <c r="M79" s="414">
        <f t="shared" si="8"/>
        <v>2.7272727272727271E-2</v>
      </c>
      <c r="N79" s="414"/>
      <c r="O79" s="414">
        <f t="shared" si="9"/>
        <v>2.7272727272727271E-2</v>
      </c>
    </row>
    <row r="80" spans="1:15" ht="12" hidden="1" customHeight="1" x14ac:dyDescent="0.25">
      <c r="A80" s="436"/>
      <c r="B80" s="532" t="str">
        <f>B78</f>
        <v>Пипетирование полуавтоматическими дозаторами</v>
      </c>
      <c r="C80" s="438" t="s">
        <v>205</v>
      </c>
      <c r="D80" s="439">
        <f>D78</f>
        <v>0.04</v>
      </c>
      <c r="E80" s="545"/>
      <c r="F80" s="432">
        <f>F78*0</f>
        <v>0</v>
      </c>
      <c r="G80" s="441"/>
      <c r="H80" s="442">
        <f>H78</f>
        <v>0.05</v>
      </c>
      <c r="I80" s="444"/>
      <c r="J80" s="444"/>
      <c r="K80" s="425"/>
      <c r="L80" s="426"/>
      <c r="M80" s="414">
        <f t="shared" si="8"/>
        <v>0</v>
      </c>
      <c r="N80" s="414"/>
      <c r="O80" s="414">
        <f t="shared" si="9"/>
        <v>0</v>
      </c>
    </row>
    <row r="81" spans="1:15" ht="12" hidden="1" customHeight="1" x14ac:dyDescent="0.25">
      <c r="A81" s="436"/>
      <c r="B81" s="532" t="str">
        <f>B80</f>
        <v>Пипетирование полуавтоматическими дозаторами</v>
      </c>
      <c r="C81" s="438" t="s">
        <v>205</v>
      </c>
      <c r="D81" s="439">
        <f>D80</f>
        <v>0.04</v>
      </c>
      <c r="E81" s="545"/>
      <c r="F81" s="432">
        <f>F78</f>
        <v>0.18</v>
      </c>
      <c r="G81" s="441"/>
      <c r="H81" s="442">
        <f>H80</f>
        <v>0.05</v>
      </c>
      <c r="I81" s="444"/>
      <c r="J81" s="444"/>
      <c r="K81" s="425"/>
      <c r="L81" s="426"/>
      <c r="M81" s="414">
        <f t="shared" si="8"/>
        <v>1.6363636363636361E-2</v>
      </c>
      <c r="N81" s="414"/>
      <c r="O81" s="414">
        <f t="shared" si="9"/>
        <v>1.6363636363636361E-2</v>
      </c>
    </row>
    <row r="82" spans="1:15" ht="12" hidden="1" customHeight="1" x14ac:dyDescent="0.25">
      <c r="A82" s="531"/>
      <c r="B82" s="437" t="str">
        <f>'[12]16 Кетоновы тела '!A11</f>
        <v>Обнаружение кетоновых тел экспресс-тестом</v>
      </c>
      <c r="C82" s="438" t="s">
        <v>204</v>
      </c>
      <c r="D82" s="439">
        <f>'[12]16 Кетоновы тела '!G26</f>
        <v>0.37</v>
      </c>
      <c r="E82" s="545" t="s">
        <v>25</v>
      </c>
      <c r="F82" s="432">
        <f>'[12]16 Кетоновы тела '!P27</f>
        <v>0.12</v>
      </c>
      <c r="G82" s="441"/>
      <c r="H82" s="442">
        <f>'[12]16 р'!G26</f>
        <v>0.6</v>
      </c>
      <c r="I82" s="443" t="s">
        <v>25</v>
      </c>
      <c r="J82" s="544"/>
      <c r="M82" s="414">
        <f t="shared" si="8"/>
        <v>1.0909090909090908E-2</v>
      </c>
      <c r="N82" s="414"/>
      <c r="O82" s="414">
        <f t="shared" si="9"/>
        <v>1.0909090909090908E-2</v>
      </c>
    </row>
    <row r="83" spans="1:15" ht="12" hidden="1" customHeight="1" x14ac:dyDescent="0.25">
      <c r="A83" s="531"/>
      <c r="B83" s="437" t="str">
        <f>'[12]17 Микроскоп ис. мочи в норме'!A11</f>
        <v>Микроскопическое исследование осадка (в норме)</v>
      </c>
      <c r="C83" s="438" t="s">
        <v>204</v>
      </c>
      <c r="D83" s="439">
        <f>'[12]17 Микроскоп ис. мочи в норме'!G26</f>
        <v>0.6</v>
      </c>
      <c r="E83" s="545" t="s">
        <v>25</v>
      </c>
      <c r="F83" s="432">
        <f>'[12]17 Микроскоп ис. мочи в норме'!P27</f>
        <v>7.0000000000000007E-2</v>
      </c>
      <c r="G83" s="441"/>
      <c r="H83" s="442">
        <f>'[12]17р  '!G26</f>
        <v>1</v>
      </c>
      <c r="I83" s="443" t="s">
        <v>25</v>
      </c>
      <c r="J83" s="544"/>
      <c r="M83" s="414">
        <f>0.05*M13/110</f>
        <v>4.5454545454545452E-3</v>
      </c>
      <c r="N83" s="414">
        <f>0.02*N13/120</f>
        <v>3.3333333333333335E-3</v>
      </c>
      <c r="O83" s="414">
        <f t="shared" si="9"/>
        <v>7.8787878787878792E-3</v>
      </c>
    </row>
    <row r="84" spans="1:15" ht="12" hidden="1" customHeight="1" x14ac:dyDescent="0.25">
      <c r="A84" s="546"/>
      <c r="B84" s="446" t="str">
        <f>B72</f>
        <v>Прием и регистрация проб</v>
      </c>
      <c r="C84" s="447" t="s">
        <v>207</v>
      </c>
      <c r="D84" s="448">
        <f>D72</f>
        <v>0.6</v>
      </c>
      <c r="E84" s="504" t="s">
        <v>25</v>
      </c>
      <c r="F84" s="450">
        <f>F72</f>
        <v>0.08</v>
      </c>
      <c r="G84" s="451"/>
      <c r="H84" s="452">
        <f>H72</f>
        <v>0.6</v>
      </c>
      <c r="I84" s="472" t="s">
        <v>25</v>
      </c>
      <c r="J84" s="544"/>
      <c r="M84" s="414">
        <f>M72</f>
        <v>9.0909090909090909E-4</v>
      </c>
      <c r="N84" s="414">
        <f>N72</f>
        <v>1.1666666666666667E-2</v>
      </c>
      <c r="O84" s="414">
        <f t="shared" si="9"/>
        <v>1.2575757575757577E-2</v>
      </c>
    </row>
    <row r="85" spans="1:15" ht="30.75" hidden="1" customHeight="1" x14ac:dyDescent="0.25">
      <c r="A85" s="547" t="s">
        <v>97</v>
      </c>
      <c r="B85" s="548" t="s">
        <v>214</v>
      </c>
      <c r="C85" s="455"/>
      <c r="D85" s="475">
        <f>SUM(D86:D95)</f>
        <v>3.83</v>
      </c>
      <c r="E85" s="549" t="s">
        <v>25</v>
      </c>
      <c r="F85" s="550">
        <f>SUM(F86:F95)</f>
        <v>0.95999999999999985</v>
      </c>
      <c r="G85" s="478" t="e">
        <f>#REF!</f>
        <v>#REF!</v>
      </c>
      <c r="H85" s="478">
        <f>SUM(H86:H95)</f>
        <v>5.63</v>
      </c>
      <c r="I85" s="479" t="s">
        <v>25</v>
      </c>
      <c r="J85" s="480">
        <f>H85/$L$16</f>
        <v>1.7185592185592187</v>
      </c>
      <c r="M85" s="414">
        <f>SUM(M86:M95)</f>
        <v>7.9090909090909087E-2</v>
      </c>
      <c r="N85" s="414">
        <f>SUM(N86:N95)</f>
        <v>1.5000000000000001E-2</v>
      </c>
      <c r="O85" s="414">
        <f>SUM(O86:O95)</f>
        <v>9.4090909090909086E-2</v>
      </c>
    </row>
    <row r="86" spans="1:15" ht="24.75" hidden="1" customHeight="1" x14ac:dyDescent="0.25">
      <c r="A86" s="528"/>
      <c r="B86" s="463" t="str">
        <f t="shared" ref="B86:D88" si="10">B75</f>
        <v xml:space="preserve">Определение количества, цвета, прозрачности, наличия осадка, относительной плотности, рН  </v>
      </c>
      <c r="C86" s="464" t="str">
        <f t="shared" si="10"/>
        <v>исслед-ие</v>
      </c>
      <c r="D86" s="465">
        <f t="shared" si="10"/>
        <v>0.24</v>
      </c>
      <c r="E86" s="551" t="s">
        <v>25</v>
      </c>
      <c r="F86" s="420">
        <f>F75</f>
        <v>0.08</v>
      </c>
      <c r="G86" s="552"/>
      <c r="H86" s="488">
        <f>H75</f>
        <v>0.42</v>
      </c>
      <c r="I86" s="529" t="s">
        <v>25</v>
      </c>
      <c r="J86" s="544"/>
      <c r="M86" s="414">
        <f t="shared" ref="M86:M93" si="11">F86*$M$13/110</f>
        <v>7.2727272727272727E-3</v>
      </c>
      <c r="N86" s="414"/>
      <c r="O86" s="414">
        <f>M86+N86</f>
        <v>7.2727272727272727E-3</v>
      </c>
    </row>
    <row r="87" spans="1:15" ht="12" hidden="1" customHeight="1" x14ac:dyDescent="0.25">
      <c r="A87" s="531"/>
      <c r="B87" s="437" t="str">
        <f t="shared" si="10"/>
        <v>Обнаружение глюкозы экспресс-тестом</v>
      </c>
      <c r="C87" s="438" t="str">
        <f t="shared" si="10"/>
        <v>исслед-ие</v>
      </c>
      <c r="D87" s="439">
        <f t="shared" si="10"/>
        <v>0.37</v>
      </c>
      <c r="E87" s="553" t="s">
        <v>25</v>
      </c>
      <c r="F87" s="432">
        <f>F76</f>
        <v>0.09</v>
      </c>
      <c r="G87" s="494"/>
      <c r="H87" s="497">
        <f>H76</f>
        <v>0.6</v>
      </c>
      <c r="I87" s="443" t="s">
        <v>25</v>
      </c>
      <c r="J87" s="544"/>
      <c r="M87" s="414">
        <f t="shared" si="11"/>
        <v>8.1818181818181807E-3</v>
      </c>
      <c r="N87" s="414"/>
      <c r="O87" s="414">
        <f t="shared" ref="O87:O95" si="12">M87+N87</f>
        <v>8.1818181818181807E-3</v>
      </c>
    </row>
    <row r="88" spans="1:15" ht="12" hidden="1" customHeight="1" x14ac:dyDescent="0.25">
      <c r="A88" s="531"/>
      <c r="B88" s="437" t="str">
        <f t="shared" si="10"/>
        <v>Обнаружение белка с сульфосалициловой кислотой</v>
      </c>
      <c r="C88" s="438" t="str">
        <f t="shared" si="10"/>
        <v>исслед-ие</v>
      </c>
      <c r="D88" s="439">
        <f t="shared" si="10"/>
        <v>0.25</v>
      </c>
      <c r="E88" s="553" t="s">
        <v>25</v>
      </c>
      <c r="F88" s="432">
        <f>F77</f>
        <v>0.03</v>
      </c>
      <c r="G88" s="494"/>
      <c r="H88" s="497">
        <f>H77</f>
        <v>0.35</v>
      </c>
      <c r="I88" s="443" t="s">
        <v>25</v>
      </c>
      <c r="J88" s="544"/>
      <c r="M88" s="414">
        <f t="shared" si="11"/>
        <v>2.7272727272727271E-3</v>
      </c>
      <c r="N88" s="414"/>
      <c r="O88" s="414">
        <f t="shared" si="12"/>
        <v>2.7272727272727271E-3</v>
      </c>
    </row>
    <row r="89" spans="1:15" ht="12" hidden="1" customHeight="1" x14ac:dyDescent="0.25">
      <c r="A89" s="436"/>
      <c r="B89" s="532" t="str">
        <f>B78</f>
        <v>Пипетирование полуавтоматическими дозаторами</v>
      </c>
      <c r="C89" s="438" t="s">
        <v>205</v>
      </c>
      <c r="D89" s="439">
        <f>D78</f>
        <v>0.04</v>
      </c>
      <c r="E89" s="553" t="str">
        <f>E87</f>
        <v>-</v>
      </c>
      <c r="F89" s="432">
        <f>F81</f>
        <v>0.18</v>
      </c>
      <c r="G89" s="494">
        <f>G87</f>
        <v>0</v>
      </c>
      <c r="H89" s="497">
        <f>H78</f>
        <v>0.05</v>
      </c>
      <c r="I89" s="444" t="str">
        <f>I87</f>
        <v>-</v>
      </c>
      <c r="J89" s="444"/>
      <c r="K89" s="425"/>
      <c r="L89" s="426"/>
      <c r="M89" s="414">
        <f t="shared" si="11"/>
        <v>1.6363636363636361E-2</v>
      </c>
      <c r="N89" s="414"/>
      <c r="O89" s="414">
        <f t="shared" si="12"/>
        <v>1.6363636363636361E-2</v>
      </c>
    </row>
    <row r="90" spans="1:15" ht="12" hidden="1" customHeight="1" x14ac:dyDescent="0.25">
      <c r="A90" s="436"/>
      <c r="B90" s="532" t="str">
        <f>B79</f>
        <v>Определение белка с сульфосалициловой кислотой</v>
      </c>
      <c r="C90" s="438" t="str">
        <f>C79</f>
        <v>исслед-ие</v>
      </c>
      <c r="D90" s="439">
        <f>D79</f>
        <v>1</v>
      </c>
      <c r="E90" s="553"/>
      <c r="F90" s="432">
        <f>F79</f>
        <v>0.3</v>
      </c>
      <c r="G90" s="494"/>
      <c r="H90" s="497">
        <f>H79</f>
        <v>1.56</v>
      </c>
      <c r="I90" s="444"/>
      <c r="J90" s="444"/>
      <c r="K90" s="425"/>
      <c r="L90" s="426"/>
      <c r="M90" s="414">
        <f t="shared" si="11"/>
        <v>2.7272727272727271E-2</v>
      </c>
      <c r="N90" s="414"/>
      <c r="O90" s="414">
        <f t="shared" si="12"/>
        <v>2.7272727272727271E-2</v>
      </c>
    </row>
    <row r="91" spans="1:15" ht="12" hidden="1" customHeight="1" x14ac:dyDescent="0.25">
      <c r="A91" s="436"/>
      <c r="B91" s="532" t="str">
        <f>B89</f>
        <v>Пипетирование полуавтоматическими дозаторами</v>
      </c>
      <c r="C91" s="438" t="s">
        <v>205</v>
      </c>
      <c r="D91" s="439">
        <f>D89</f>
        <v>0.04</v>
      </c>
      <c r="E91" s="553"/>
      <c r="F91" s="432">
        <f>F89*0</f>
        <v>0</v>
      </c>
      <c r="G91" s="494"/>
      <c r="H91" s="497">
        <f>H89</f>
        <v>0.05</v>
      </c>
      <c r="I91" s="444"/>
      <c r="J91" s="444"/>
      <c r="K91" s="425"/>
      <c r="L91" s="426"/>
      <c r="M91" s="414">
        <f t="shared" si="11"/>
        <v>0</v>
      </c>
      <c r="N91" s="414"/>
      <c r="O91" s="414">
        <f t="shared" si="12"/>
        <v>0</v>
      </c>
    </row>
    <row r="92" spans="1:15" ht="12" hidden="1" customHeight="1" x14ac:dyDescent="0.25">
      <c r="A92" s="436"/>
      <c r="B92" s="532" t="str">
        <f>B81</f>
        <v>Пипетирование полуавтоматическими дозаторами</v>
      </c>
      <c r="C92" s="438" t="s">
        <v>205</v>
      </c>
      <c r="D92" s="439">
        <f>D91</f>
        <v>0.04</v>
      </c>
      <c r="E92" s="553"/>
      <c r="F92" s="432">
        <f>F89*0</f>
        <v>0</v>
      </c>
      <c r="G92" s="494"/>
      <c r="H92" s="497">
        <f>H91</f>
        <v>0.05</v>
      </c>
      <c r="I92" s="444"/>
      <c r="J92" s="444"/>
      <c r="K92" s="425"/>
      <c r="L92" s="426"/>
      <c r="M92" s="414">
        <f t="shared" si="11"/>
        <v>0</v>
      </c>
      <c r="N92" s="414"/>
      <c r="O92" s="414">
        <f t="shared" si="12"/>
        <v>0</v>
      </c>
    </row>
    <row r="93" spans="1:15" ht="12" hidden="1" customHeight="1" x14ac:dyDescent="0.25">
      <c r="A93" s="531"/>
      <c r="B93" s="437" t="str">
        <f>B82</f>
        <v>Обнаружение кетоновых тел экспресс-тестом</v>
      </c>
      <c r="C93" s="438" t="str">
        <f>C82</f>
        <v>исслед-ие</v>
      </c>
      <c r="D93" s="439">
        <f>D82</f>
        <v>0.37</v>
      </c>
      <c r="E93" s="553" t="s">
        <v>25</v>
      </c>
      <c r="F93" s="432">
        <f>F82</f>
        <v>0.12</v>
      </c>
      <c r="G93" s="494"/>
      <c r="H93" s="497">
        <f>H82</f>
        <v>0.6</v>
      </c>
      <c r="I93" s="443" t="s">
        <v>25</v>
      </c>
      <c r="J93" s="544"/>
      <c r="M93" s="414">
        <f t="shared" si="11"/>
        <v>1.0909090909090908E-2</v>
      </c>
      <c r="N93" s="414"/>
      <c r="O93" s="414">
        <f t="shared" si="12"/>
        <v>1.0909090909090908E-2</v>
      </c>
    </row>
    <row r="94" spans="1:15" ht="12" hidden="1" customHeight="1" x14ac:dyDescent="0.25">
      <c r="A94" s="531"/>
      <c r="B94" s="437" t="str">
        <f>'[12]18 Микроскоп патология'!A11</f>
        <v>Микроскопическое исследование осадка при патологии (белок в моче)</v>
      </c>
      <c r="C94" s="438" t="str">
        <f>C83</f>
        <v>исслед-ие</v>
      </c>
      <c r="D94" s="439">
        <f>'[12]18 Микроскоп патология'!G26</f>
        <v>0.88</v>
      </c>
      <c r="E94" s="553" t="s">
        <v>25</v>
      </c>
      <c r="F94" s="432">
        <f>'[12]18 Микроскоп патология'!P28</f>
        <v>0.08</v>
      </c>
      <c r="G94" s="494"/>
      <c r="H94" s="497">
        <f>'[12]18р  '!G26</f>
        <v>1.35</v>
      </c>
      <c r="I94" s="443" t="s">
        <v>25</v>
      </c>
      <c r="J94" s="544"/>
      <c r="M94" s="414">
        <f>0.06*M13/110</f>
        <v>5.4545454545454541E-3</v>
      </c>
      <c r="N94" s="414">
        <f>0.02*N13/120</f>
        <v>3.3333333333333335E-3</v>
      </c>
      <c r="O94" s="414">
        <f t="shared" si="12"/>
        <v>8.7878787878787872E-3</v>
      </c>
    </row>
    <row r="95" spans="1:15" ht="12" hidden="1" customHeight="1" x14ac:dyDescent="0.25">
      <c r="A95" s="546"/>
      <c r="B95" s="446" t="str">
        <f>B84</f>
        <v>Прием и регистрация проб</v>
      </c>
      <c r="C95" s="447" t="str">
        <f>C84</f>
        <v>регистрация</v>
      </c>
      <c r="D95" s="448">
        <f>D84</f>
        <v>0.6</v>
      </c>
      <c r="E95" s="554" t="s">
        <v>25</v>
      </c>
      <c r="F95" s="450">
        <f>F84</f>
        <v>0.08</v>
      </c>
      <c r="G95" s="555"/>
      <c r="H95" s="507">
        <f>H84</f>
        <v>0.6</v>
      </c>
      <c r="I95" s="472" t="s">
        <v>25</v>
      </c>
      <c r="J95" s="544"/>
      <c r="M95" s="414">
        <f>M84</f>
        <v>9.0909090909090909E-4</v>
      </c>
      <c r="N95" s="414">
        <f>N84</f>
        <v>1.1666666666666667E-2</v>
      </c>
      <c r="O95" s="414">
        <f t="shared" si="12"/>
        <v>1.2575757575757577E-2</v>
      </c>
    </row>
    <row r="96" spans="1:15" ht="18.75" hidden="1" customHeight="1" x14ac:dyDescent="0.25">
      <c r="A96" s="556" t="s">
        <v>98</v>
      </c>
      <c r="B96" s="557" t="s">
        <v>215</v>
      </c>
      <c r="C96" s="455"/>
      <c r="D96" s="475">
        <f>SUM(D97:D100)</f>
        <v>2.8400000000000003</v>
      </c>
      <c r="E96" s="549" t="s">
        <v>25</v>
      </c>
      <c r="F96" s="407">
        <f>SUM(F97:F100)</f>
        <v>0.4</v>
      </c>
      <c r="G96" s="558"/>
      <c r="H96" s="478">
        <f>SUM(H97:H100)</f>
        <v>3.9</v>
      </c>
      <c r="I96" s="479" t="s">
        <v>25</v>
      </c>
      <c r="J96" s="544">
        <f>H96/$L$16</f>
        <v>1.1904761904761905</v>
      </c>
      <c r="M96" s="414">
        <f>SUM(M97:M100)</f>
        <v>2.8181818181818176E-2</v>
      </c>
      <c r="N96" s="414">
        <f>SUM(N97:N100)</f>
        <v>1.5000000000000001E-2</v>
      </c>
      <c r="O96" s="414">
        <f>SUM(O97:O100)</f>
        <v>4.3181818181818182E-2</v>
      </c>
    </row>
    <row r="97" spans="1:15" ht="24.95" hidden="1" customHeight="1" x14ac:dyDescent="0.25">
      <c r="A97" s="559"/>
      <c r="B97" s="560" t="str">
        <f>'[12]19 Анализ по Нечипоренко'!A11</f>
        <v>Подсчет количества форменных элементов методом Нечипоренко</v>
      </c>
      <c r="C97" s="561" t="str">
        <f>C86</f>
        <v>исслед-ие</v>
      </c>
      <c r="D97" s="562">
        <f>'[12]19 Анализ по Нечипоренко'!G26</f>
        <v>2.16</v>
      </c>
      <c r="E97" s="563" t="s">
        <v>25</v>
      </c>
      <c r="F97" s="420">
        <f>'[12]19 Анализ по Нечипоренко'!P27</f>
        <v>0.14000000000000001</v>
      </c>
      <c r="G97" s="564">
        <f>'[12]19р'!$G$27</f>
        <v>97.68</v>
      </c>
      <c r="H97" s="565">
        <f>'[12]19р'!G26</f>
        <v>3.2</v>
      </c>
      <c r="I97" s="489" t="s">
        <v>25</v>
      </c>
      <c r="J97" s="490"/>
      <c r="M97" s="414">
        <f>0.12*M13/110</f>
        <v>1.0909090909090908E-2</v>
      </c>
      <c r="N97" s="414">
        <f>0.02*N13/120</f>
        <v>3.3333333333333335E-3</v>
      </c>
      <c r="O97" s="414">
        <f>M97+N97</f>
        <v>1.4242424242424242E-2</v>
      </c>
    </row>
    <row r="98" spans="1:15" ht="12" hidden="1" customHeight="1" x14ac:dyDescent="0.25">
      <c r="A98" s="566"/>
      <c r="B98" s="567" t="str">
        <f>B91</f>
        <v>Пипетирование полуавтоматическими дозаторами</v>
      </c>
      <c r="C98" s="438" t="str">
        <f>C55</f>
        <v>пипетир-е</v>
      </c>
      <c r="D98" s="568">
        <f>D89</f>
        <v>0.04</v>
      </c>
      <c r="E98" s="569"/>
      <c r="F98" s="432">
        <f>F20</f>
        <v>0.18</v>
      </c>
      <c r="G98" s="503"/>
      <c r="H98" s="570">
        <f>H89</f>
        <v>0.05</v>
      </c>
      <c r="I98" s="498"/>
      <c r="J98" s="480"/>
      <c r="M98" s="414">
        <f>F98*$M$13/110</f>
        <v>1.6363636363636361E-2</v>
      </c>
      <c r="N98" s="414"/>
      <c r="O98" s="414">
        <f>M98+N98</f>
        <v>1.6363636363636361E-2</v>
      </c>
    </row>
    <row r="99" spans="1:15" ht="12" hidden="1" customHeight="1" x14ac:dyDescent="0.25">
      <c r="A99" s="566"/>
      <c r="B99" s="571" t="str">
        <f>B98</f>
        <v>Пипетирование полуавтоматическими дозаторами</v>
      </c>
      <c r="C99" s="438" t="str">
        <f>C98</f>
        <v>пипетир-е</v>
      </c>
      <c r="D99" s="568">
        <f>D89</f>
        <v>0.04</v>
      </c>
      <c r="E99" s="569"/>
      <c r="F99" s="432">
        <f>F92</f>
        <v>0</v>
      </c>
      <c r="G99" s="503"/>
      <c r="H99" s="570">
        <f>H89</f>
        <v>0.05</v>
      </c>
      <c r="I99" s="498"/>
      <c r="J99" s="480"/>
      <c r="M99" s="414">
        <f>F99*$M$13/110</f>
        <v>0</v>
      </c>
      <c r="N99" s="414"/>
      <c r="O99" s="414">
        <f>M99+N99</f>
        <v>0</v>
      </c>
    </row>
    <row r="100" spans="1:15" ht="12" hidden="1" customHeight="1" x14ac:dyDescent="0.25">
      <c r="A100" s="566"/>
      <c r="B100" s="572" t="str">
        <f>B95</f>
        <v>Прием и регистрация проб</v>
      </c>
      <c r="C100" s="534" t="str">
        <f>C95</f>
        <v>регистрация</v>
      </c>
      <c r="D100" s="448">
        <f>D95</f>
        <v>0.6</v>
      </c>
      <c r="E100" s="554" t="s">
        <v>25</v>
      </c>
      <c r="F100" s="450">
        <f>F95</f>
        <v>0.08</v>
      </c>
      <c r="G100" s="503"/>
      <c r="H100" s="507">
        <f>H95</f>
        <v>0.6</v>
      </c>
      <c r="I100" s="498" t="s">
        <v>25</v>
      </c>
      <c r="J100" s="480"/>
      <c r="M100" s="414">
        <f>M95</f>
        <v>9.0909090909090909E-4</v>
      </c>
      <c r="N100" s="414">
        <f>N95</f>
        <v>1.1666666666666667E-2</v>
      </c>
      <c r="O100" s="414">
        <f>M100+N100</f>
        <v>1.2575757575757577E-2</v>
      </c>
    </row>
    <row r="101" spans="1:15" s="20" customFormat="1" ht="40.5" hidden="1" customHeight="1" x14ac:dyDescent="0.25">
      <c r="A101" s="508" t="s">
        <v>101</v>
      </c>
      <c r="B101" s="772" t="s">
        <v>216</v>
      </c>
      <c r="C101" s="773"/>
      <c r="D101" s="773"/>
      <c r="E101" s="773"/>
      <c r="F101" s="773"/>
      <c r="G101" s="773"/>
      <c r="H101" s="773"/>
      <c r="I101" s="773"/>
      <c r="J101" s="774"/>
      <c r="M101" s="517"/>
      <c r="N101" s="517"/>
      <c r="O101" s="517"/>
    </row>
    <row r="102" spans="1:15" ht="51.75" hidden="1" customHeight="1" x14ac:dyDescent="0.25">
      <c r="A102" s="547" t="s">
        <v>103</v>
      </c>
      <c r="B102" s="474" t="s">
        <v>216</v>
      </c>
      <c r="C102" s="474"/>
      <c r="D102" s="573">
        <f>SUM(D103:D107)</f>
        <v>2.9200000000000004</v>
      </c>
      <c r="E102" s="574"/>
      <c r="F102" s="575">
        <f>SUM(F103:F107)</f>
        <v>0.42</v>
      </c>
      <c r="G102" s="576"/>
      <c r="H102" s="577">
        <f>SUM(H103:H107)</f>
        <v>3.7499999999999996</v>
      </c>
      <c r="I102" s="578"/>
      <c r="J102" s="578"/>
      <c r="M102" s="414">
        <f>SUM(M103:M107)</f>
        <v>0.03</v>
      </c>
      <c r="N102" s="414">
        <f>SUM(N103:N107)</f>
        <v>1.5000000000000001E-2</v>
      </c>
      <c r="O102" s="414">
        <f>SUM(O103:O107)</f>
        <v>4.4999999999999998E-2</v>
      </c>
    </row>
    <row r="103" spans="1:15" ht="24.95" hidden="1" customHeight="1" x14ac:dyDescent="0.25">
      <c r="A103" s="528"/>
      <c r="B103" s="579" t="str">
        <f>'[12]20 Трихомонад'!A11</f>
        <v>Микроскопическое исследование препаратов, окрашенных метиленовым синим</v>
      </c>
      <c r="C103" s="464" t="str">
        <f>C90</f>
        <v>исслед-ие</v>
      </c>
      <c r="D103" s="465">
        <f>'[12]20 Трихомонад'!G26</f>
        <v>2.2000000000000002</v>
      </c>
      <c r="E103" s="551" t="s">
        <v>25</v>
      </c>
      <c r="F103" s="580">
        <f>'[12]20 Трихомонад'!P30</f>
        <v>0.16</v>
      </c>
      <c r="G103" s="552">
        <f>'[12]20р'!$G$27</f>
        <v>91.58</v>
      </c>
      <c r="H103" s="488">
        <f>'[12]20р'!G26</f>
        <v>3</v>
      </c>
      <c r="I103" s="529" t="s">
        <v>25</v>
      </c>
      <c r="J103" s="480"/>
      <c r="M103" s="414">
        <f>0.14*M13/110</f>
        <v>1.2727272727272728E-2</v>
      </c>
      <c r="N103" s="414">
        <f>0.02*N13/120</f>
        <v>3.3333333333333335E-3</v>
      </c>
      <c r="O103" s="414">
        <f>M103+N103</f>
        <v>1.606060606060606E-2</v>
      </c>
    </row>
    <row r="104" spans="1:15" ht="12" hidden="1" customHeight="1" x14ac:dyDescent="0.25">
      <c r="A104" s="531"/>
      <c r="B104" s="581" t="str">
        <f>B98</f>
        <v>Пипетирование полуавтоматическими дозаторами</v>
      </c>
      <c r="C104" s="438" t="str">
        <f>C91</f>
        <v>пипетир-е</v>
      </c>
      <c r="D104" s="439">
        <f>D98</f>
        <v>0.04</v>
      </c>
      <c r="E104" s="553"/>
      <c r="F104" s="582">
        <f>F20</f>
        <v>0.18</v>
      </c>
      <c r="G104" s="494"/>
      <c r="H104" s="497">
        <f>H98</f>
        <v>0.05</v>
      </c>
      <c r="I104" s="443"/>
      <c r="J104" s="480"/>
      <c r="M104" s="414">
        <f>F104*$M$13/110</f>
        <v>1.6363636363636361E-2</v>
      </c>
      <c r="N104" s="414"/>
      <c r="O104" s="414">
        <f>M104+N104</f>
        <v>1.6363636363636361E-2</v>
      </c>
    </row>
    <row r="105" spans="1:15" ht="12" hidden="1" customHeight="1" x14ac:dyDescent="0.25">
      <c r="A105" s="531"/>
      <c r="B105" s="581" t="str">
        <f>B104</f>
        <v>Пипетирование полуавтоматическими дозаторами</v>
      </c>
      <c r="C105" s="438" t="str">
        <f>C92</f>
        <v>пипетир-е</v>
      </c>
      <c r="D105" s="439">
        <f>D98</f>
        <v>0.04</v>
      </c>
      <c r="E105" s="553"/>
      <c r="F105" s="582">
        <f>F98*0</f>
        <v>0</v>
      </c>
      <c r="G105" s="494"/>
      <c r="H105" s="497">
        <f>H98</f>
        <v>0.05</v>
      </c>
      <c r="I105" s="443"/>
      <c r="J105" s="480"/>
      <c r="M105" s="414">
        <f>F105*$M$13/110</f>
        <v>0</v>
      </c>
      <c r="N105" s="414"/>
      <c r="O105" s="414">
        <f>M105+N105</f>
        <v>0</v>
      </c>
    </row>
    <row r="106" spans="1:15" ht="12" hidden="1" customHeight="1" x14ac:dyDescent="0.25">
      <c r="A106" s="531"/>
      <c r="B106" s="581" t="str">
        <f>B105</f>
        <v>Пипетирование полуавтоматическими дозаторами</v>
      </c>
      <c r="C106" s="438" t="str">
        <f>C93</f>
        <v>исслед-ие</v>
      </c>
      <c r="D106" s="439">
        <f>D99</f>
        <v>0.04</v>
      </c>
      <c r="E106" s="553"/>
      <c r="F106" s="582">
        <f>F104*0</f>
        <v>0</v>
      </c>
      <c r="G106" s="494"/>
      <c r="H106" s="497">
        <f>H99</f>
        <v>0.05</v>
      </c>
      <c r="I106" s="443"/>
      <c r="J106" s="480"/>
      <c r="M106" s="414">
        <f>F106*$M$13/110</f>
        <v>0</v>
      </c>
      <c r="N106" s="414"/>
      <c r="O106" s="414">
        <f>M106+N106</f>
        <v>0</v>
      </c>
    </row>
    <row r="107" spans="1:15" ht="12" hidden="1" customHeight="1" x14ac:dyDescent="0.25">
      <c r="A107" s="546"/>
      <c r="B107" s="583" t="str">
        <f>B100</f>
        <v>Прием и регистрация проб</v>
      </c>
      <c r="C107" s="447" t="str">
        <f>C100</f>
        <v>регистрация</v>
      </c>
      <c r="D107" s="448">
        <f>D100</f>
        <v>0.6</v>
      </c>
      <c r="E107" s="554" t="s">
        <v>25</v>
      </c>
      <c r="F107" s="584">
        <f>F100</f>
        <v>0.08</v>
      </c>
      <c r="G107" s="555">
        <f>'[12]20р'!$G$27</f>
        <v>91.58</v>
      </c>
      <c r="H107" s="507">
        <f>H100</f>
        <v>0.6</v>
      </c>
      <c r="I107" s="472" t="s">
        <v>25</v>
      </c>
      <c r="J107" s="585"/>
      <c r="M107" s="414">
        <f>M100</f>
        <v>9.0909090909090909E-4</v>
      </c>
      <c r="N107" s="414">
        <f>N100</f>
        <v>1.1666666666666667E-2</v>
      </c>
      <c r="O107" s="414">
        <f>M107+N107</f>
        <v>1.2575757575757577E-2</v>
      </c>
    </row>
    <row r="108" spans="1:15" s="20" customFormat="1" ht="30.75" customHeight="1" thickBot="1" x14ac:dyDescent="0.3">
      <c r="A108" s="586" t="s">
        <v>217</v>
      </c>
      <c r="B108" s="401"/>
      <c r="C108" s="397"/>
      <c r="D108" s="398"/>
      <c r="E108" s="587"/>
      <c r="F108" s="400"/>
      <c r="G108" s="398"/>
      <c r="H108" s="397"/>
      <c r="I108" s="587"/>
      <c r="J108" s="588"/>
      <c r="M108" s="517"/>
      <c r="N108" s="517"/>
      <c r="O108" s="517"/>
    </row>
    <row r="109" spans="1:15" s="20" customFormat="1" ht="40.5" customHeight="1" thickBot="1" x14ac:dyDescent="0.3">
      <c r="A109" s="589" t="s">
        <v>90</v>
      </c>
      <c r="B109" s="590" t="s">
        <v>218</v>
      </c>
      <c r="C109" s="387"/>
      <c r="D109" s="591"/>
      <c r="E109" s="587"/>
      <c r="F109" s="390"/>
      <c r="G109" s="592"/>
      <c r="H109" s="388"/>
      <c r="I109" s="593"/>
      <c r="J109" s="588"/>
      <c r="M109" s="517"/>
      <c r="N109" s="517"/>
      <c r="O109" s="517"/>
    </row>
    <row r="110" spans="1:15" ht="43.5" customHeight="1" thickBot="1" x14ac:dyDescent="0.3">
      <c r="A110" s="594" t="s">
        <v>23</v>
      </c>
      <c r="B110" s="595" t="str">
        <f>'[12]Инструмент 1 кардиогр'!A11</f>
        <v>Электрокардиограмма в 12 отведениях без функциональных проб</v>
      </c>
      <c r="C110" s="596" t="str">
        <f>C103</f>
        <v>исслед-ие</v>
      </c>
      <c r="D110" s="550">
        <f>'[13]Инструмент 1 кардиогр'!G28</f>
        <v>5.28</v>
      </c>
      <c r="E110" s="597" t="s">
        <v>25</v>
      </c>
      <c r="F110" s="598">
        <f>'[13]Инструмент 1 кардиогр'!P31</f>
        <v>0.53</v>
      </c>
      <c r="G110" s="599">
        <f>'[12]20р'!$G$27</f>
        <v>91.58</v>
      </c>
      <c r="H110" s="600">
        <f>'[13]1  р'!G28</f>
        <v>8.1300000000000008</v>
      </c>
      <c r="I110" s="601" t="s">
        <v>25</v>
      </c>
      <c r="J110" s="602">
        <f>H110/$L$16</f>
        <v>2.4816849816849822</v>
      </c>
      <c r="M110" s="65">
        <f>0.47*M13/110</f>
        <v>4.2727272727272718E-2</v>
      </c>
      <c r="N110" s="65">
        <f>0.02*N13/120</f>
        <v>3.3333333333333335E-3</v>
      </c>
      <c r="O110" s="65">
        <f>M110+N110</f>
        <v>4.6060606060606052E-2</v>
      </c>
    </row>
    <row r="111" spans="1:15" ht="19.5" hidden="1" thickBot="1" x14ac:dyDescent="0.3">
      <c r="A111" s="603"/>
      <c r="B111" s="604"/>
      <c r="C111" s="605"/>
      <c r="D111" s="606"/>
      <c r="E111" s="607"/>
      <c r="F111" s="608"/>
      <c r="G111" s="609"/>
      <c r="H111" s="610"/>
      <c r="I111" s="607"/>
      <c r="J111" s="611"/>
    </row>
    <row r="112" spans="1:15" ht="18.75" x14ac:dyDescent="0.25">
      <c r="A112" s="612"/>
      <c r="B112" s="613"/>
      <c r="C112" s="612"/>
      <c r="D112" s="614"/>
      <c r="E112" s="615"/>
      <c r="F112" s="616"/>
      <c r="G112" s="617"/>
      <c r="H112" s="614"/>
      <c r="I112" s="615"/>
      <c r="J112" s="614"/>
    </row>
    <row r="113" spans="1:14" ht="18.75" x14ac:dyDescent="0.25">
      <c r="A113" s="612"/>
      <c r="B113" s="613"/>
      <c r="C113" s="612"/>
      <c r="D113" s="614"/>
      <c r="E113" s="615"/>
      <c r="F113" s="616"/>
      <c r="G113" s="617"/>
      <c r="H113" s="614"/>
      <c r="I113" s="615"/>
      <c r="J113" s="614"/>
    </row>
    <row r="114" spans="1:14" ht="21" customHeight="1" x14ac:dyDescent="0.25">
      <c r="A114" s="372" t="s">
        <v>135</v>
      </c>
      <c r="B114" s="372"/>
      <c r="C114" s="372"/>
      <c r="D114" s="372"/>
      <c r="E114" s="372"/>
      <c r="F114" s="618" t="s">
        <v>83</v>
      </c>
      <c r="G114" s="372"/>
      <c r="I114" s="372"/>
      <c r="J114" s="370"/>
    </row>
    <row r="115" spans="1:14" ht="16.7" customHeight="1" x14ac:dyDescent="0.25">
      <c r="A115" s="372" t="s">
        <v>57</v>
      </c>
      <c r="B115" s="372"/>
      <c r="C115" s="372"/>
      <c r="D115" s="372"/>
      <c r="E115" s="372"/>
      <c r="F115" s="618" t="s">
        <v>58</v>
      </c>
      <c r="G115" s="372"/>
      <c r="I115" s="372"/>
      <c r="J115" s="370"/>
    </row>
    <row r="116" spans="1:14" ht="18" customHeight="1" x14ac:dyDescent="0.25">
      <c r="A116" s="372" t="s">
        <v>85</v>
      </c>
      <c r="B116" s="372"/>
      <c r="C116" s="372"/>
      <c r="D116" s="372"/>
      <c r="E116" s="372"/>
      <c r="F116" s="618" t="s">
        <v>60</v>
      </c>
      <c r="G116" s="372"/>
      <c r="I116" s="372"/>
      <c r="J116" s="370"/>
    </row>
    <row r="117" spans="1:14" ht="17.25" hidden="1" customHeight="1" x14ac:dyDescent="0.25">
      <c r="A117" s="10" t="s">
        <v>62</v>
      </c>
      <c r="B117" s="10"/>
      <c r="C117" s="10"/>
      <c r="D117" s="10"/>
      <c r="E117" s="10"/>
      <c r="F117" s="10"/>
      <c r="G117" s="10"/>
      <c r="H117" s="113"/>
      <c r="I117" s="10"/>
    </row>
    <row r="118" spans="1:14" hidden="1" x14ac:dyDescent="0.25">
      <c r="A118" s="10" t="s">
        <v>63</v>
      </c>
      <c r="B118" s="10"/>
      <c r="C118" s="10"/>
      <c r="D118" s="10"/>
      <c r="E118" s="10"/>
      <c r="F118" s="10"/>
      <c r="G118" s="10"/>
      <c r="H118" s="113" t="s">
        <v>163</v>
      </c>
      <c r="I118" s="10"/>
    </row>
    <row r="119" spans="1:14" x14ac:dyDescent="0.25">
      <c r="A119" s="10"/>
      <c r="B119" s="87"/>
      <c r="C119" s="10"/>
      <c r="D119" s="10"/>
      <c r="E119" s="113"/>
      <c r="F119" s="10"/>
      <c r="G119" s="10"/>
      <c r="H119" s="10"/>
      <c r="I119" s="10"/>
    </row>
    <row r="120" spans="1:14" x14ac:dyDescent="0.25">
      <c r="B120" s="20"/>
      <c r="E120" s="230"/>
      <c r="J120" s="10"/>
      <c r="K120" s="10"/>
      <c r="L120" s="10"/>
      <c r="M120" s="10"/>
      <c r="N120" s="10"/>
    </row>
    <row r="121" spans="1:14" x14ac:dyDescent="0.25">
      <c r="B121" s="20"/>
      <c r="E121" s="230"/>
      <c r="J121" s="10"/>
      <c r="K121" s="10"/>
      <c r="L121" s="10"/>
      <c r="M121" s="10"/>
      <c r="N121" s="10"/>
    </row>
    <row r="122" spans="1:14" x14ac:dyDescent="0.25">
      <c r="E122" s="230"/>
      <c r="J122" s="10"/>
      <c r="K122" s="10"/>
      <c r="L122" s="10"/>
      <c r="M122" s="10"/>
      <c r="N122" s="10"/>
    </row>
    <row r="123" spans="1:14" x14ac:dyDescent="0.25">
      <c r="E123" s="230"/>
      <c r="J123" s="10"/>
      <c r="K123" s="10"/>
      <c r="L123" s="10"/>
      <c r="M123" s="10"/>
      <c r="N123" s="10"/>
    </row>
    <row r="124" spans="1:14" x14ac:dyDescent="0.25">
      <c r="B124" s="20"/>
      <c r="E124" s="230"/>
      <c r="J124" s="10"/>
      <c r="K124" s="10"/>
      <c r="L124" s="10"/>
      <c r="M124" s="10"/>
      <c r="N124" s="10"/>
    </row>
    <row r="125" spans="1:14" x14ac:dyDescent="0.25">
      <c r="B125" s="20"/>
      <c r="E125" s="230"/>
    </row>
    <row r="126" spans="1:14" x14ac:dyDescent="0.25">
      <c r="B126" s="20"/>
      <c r="E126" s="230"/>
    </row>
    <row r="127" spans="1:14" x14ac:dyDescent="0.25">
      <c r="E127" s="230"/>
    </row>
    <row r="128" spans="1:14" x14ac:dyDescent="0.25">
      <c r="E128" s="230"/>
    </row>
    <row r="129" spans="5:5" x14ac:dyDescent="0.25">
      <c r="E129" s="230"/>
    </row>
    <row r="130" spans="5:5" x14ac:dyDescent="0.25">
      <c r="E130" s="230"/>
    </row>
    <row r="131" spans="5:5" x14ac:dyDescent="0.25">
      <c r="E131" s="230"/>
    </row>
    <row r="132" spans="5:5" x14ac:dyDescent="0.25">
      <c r="E132" s="230"/>
    </row>
    <row r="133" spans="5:5" x14ac:dyDescent="0.25">
      <c r="E133" s="230"/>
    </row>
    <row r="134" spans="5:5" x14ac:dyDescent="0.25">
      <c r="E134" s="230"/>
    </row>
    <row r="135" spans="5:5" x14ac:dyDescent="0.25">
      <c r="E135" s="230"/>
    </row>
    <row r="136" spans="5:5" x14ac:dyDescent="0.25">
      <c r="E136" s="230"/>
    </row>
    <row r="137" spans="5:5" x14ac:dyDescent="0.25">
      <c r="E137" s="230"/>
    </row>
    <row r="138" spans="5:5" x14ac:dyDescent="0.25">
      <c r="E138" s="230"/>
    </row>
    <row r="139" spans="5:5" x14ac:dyDescent="0.25">
      <c r="E139" s="230"/>
    </row>
    <row r="140" spans="5:5" x14ac:dyDescent="0.25">
      <c r="E140" s="230"/>
    </row>
    <row r="141" spans="5:5" x14ac:dyDescent="0.25">
      <c r="E141" s="230"/>
    </row>
    <row r="142" spans="5:5" x14ac:dyDescent="0.25">
      <c r="E142" s="230"/>
    </row>
    <row r="143" spans="5:5" x14ac:dyDescent="0.25">
      <c r="E143" s="230"/>
    </row>
    <row r="144" spans="5:5" x14ac:dyDescent="0.25">
      <c r="E144" s="230"/>
    </row>
    <row r="145" spans="5:5" x14ac:dyDescent="0.25">
      <c r="E145" s="230"/>
    </row>
    <row r="146" spans="5:5" x14ac:dyDescent="0.25">
      <c r="E146" s="230"/>
    </row>
    <row r="147" spans="5:5" x14ac:dyDescent="0.25">
      <c r="E147" s="230"/>
    </row>
    <row r="148" spans="5:5" x14ac:dyDescent="0.25">
      <c r="E148" s="230"/>
    </row>
    <row r="149" spans="5:5" x14ac:dyDescent="0.25">
      <c r="E149" s="230"/>
    </row>
    <row r="150" spans="5:5" x14ac:dyDescent="0.25">
      <c r="E150" s="230"/>
    </row>
    <row r="151" spans="5:5" x14ac:dyDescent="0.25">
      <c r="E151" s="230"/>
    </row>
    <row r="152" spans="5:5" x14ac:dyDescent="0.25">
      <c r="E152" s="230"/>
    </row>
    <row r="153" spans="5:5" x14ac:dyDescent="0.25">
      <c r="E153" s="230"/>
    </row>
  </sheetData>
  <mergeCells count="10">
    <mergeCell ref="A12:A13"/>
    <mergeCell ref="B12:B13"/>
    <mergeCell ref="C12:C13"/>
    <mergeCell ref="D12:E12"/>
    <mergeCell ref="F12:F13"/>
    <mergeCell ref="G12:I12"/>
    <mergeCell ref="M12:O12"/>
    <mergeCell ref="B73:J73"/>
    <mergeCell ref="B101:J101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массаж</vt:lpstr>
      <vt:lpstr>гинекология</vt:lpstr>
      <vt:lpstr>физиотерапия</vt:lpstr>
      <vt:lpstr>прием</vt:lpstr>
      <vt:lpstr>фитотерапия</vt:lpstr>
      <vt:lpstr>ЛФК</vt:lpstr>
      <vt:lpstr>манипуляции</vt:lpstr>
      <vt:lpstr>рефлексотерапия</vt:lpstr>
      <vt:lpstr>ЭКГ</vt:lpstr>
      <vt:lpstr>стоматология</vt:lpstr>
      <vt:lpstr>УЗИ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2023-09-04T07:33:07Z</dcterms:modified>
</cp:coreProperties>
</file>